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ryoma\Desktop\研究\spmodel_mpi\brueshaber\documents\showman\"/>
    </mc:Choice>
  </mc:AlternateContent>
  <xr:revisionPtr revIDLastSave="0" documentId="13_ncr:1_{75F7F1AD-7F9C-40CB-86A6-915340E2BA3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07_run" sheetId="3" r:id="rId1"/>
    <sheet name="S07" sheetId="1" r:id="rId2"/>
    <sheet name="B19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80" i="3" l="1"/>
  <c r="AE80" i="3" s="1"/>
  <c r="S80" i="3"/>
  <c r="K80" i="3"/>
  <c r="J80" i="3"/>
  <c r="L80" i="3" s="1"/>
  <c r="I80" i="3"/>
  <c r="M80" i="3" s="1"/>
  <c r="AJ40" i="3"/>
  <c r="AI41" i="3"/>
  <c r="AI42" i="3"/>
  <c r="AI43" i="3"/>
  <c r="AI40" i="3"/>
  <c r="AD43" i="3"/>
  <c r="AE43" i="3" s="1"/>
  <c r="S43" i="3"/>
  <c r="K43" i="3"/>
  <c r="J43" i="3"/>
  <c r="L43" i="3" s="1"/>
  <c r="I43" i="3"/>
  <c r="M43" i="3" s="1"/>
  <c r="AD53" i="3"/>
  <c r="AE53" i="3" s="1"/>
  <c r="S53" i="3"/>
  <c r="I53" i="3"/>
  <c r="K53" i="3" s="1"/>
  <c r="AD55" i="3"/>
  <c r="AE55" i="3" s="1"/>
  <c r="S55" i="3"/>
  <c r="AG55" i="3" s="1"/>
  <c r="K55" i="3"/>
  <c r="J55" i="3"/>
  <c r="L55" i="3" s="1"/>
  <c r="I55" i="3"/>
  <c r="M55" i="3" s="1"/>
  <c r="AD54" i="3"/>
  <c r="AE54" i="3" s="1"/>
  <c r="S54" i="3"/>
  <c r="AG54" i="3" s="1"/>
  <c r="K54" i="3"/>
  <c r="I54" i="3"/>
  <c r="M54" i="3" s="1"/>
  <c r="AD52" i="3"/>
  <c r="AE52" i="3" s="1"/>
  <c r="S52" i="3"/>
  <c r="AG52" i="3" s="1"/>
  <c r="I52" i="3"/>
  <c r="K52" i="3" s="1"/>
  <c r="AD51" i="3"/>
  <c r="AE51" i="3" s="1"/>
  <c r="S51" i="3"/>
  <c r="AG51" i="3" s="1"/>
  <c r="I51" i="3"/>
  <c r="K51" i="3" s="1"/>
  <c r="AB17" i="3"/>
  <c r="AC17" i="3" s="1"/>
  <c r="Q17" i="3"/>
  <c r="G17" i="3"/>
  <c r="I17" i="3" s="1"/>
  <c r="AB16" i="3"/>
  <c r="AC16" i="3" s="1"/>
  <c r="Q16" i="3"/>
  <c r="G16" i="3"/>
  <c r="I16" i="3" s="1"/>
  <c r="AB13" i="3"/>
  <c r="AC13" i="3" s="1"/>
  <c r="Q13" i="3"/>
  <c r="G13" i="3"/>
  <c r="I13" i="3" s="1"/>
  <c r="AB14" i="3"/>
  <c r="AC14" i="3" s="1"/>
  <c r="Q14" i="3"/>
  <c r="G14" i="3"/>
  <c r="K14" i="3" s="1"/>
  <c r="AB12" i="3"/>
  <c r="AC12" i="3" s="1"/>
  <c r="Q12" i="3"/>
  <c r="G12" i="3"/>
  <c r="I12" i="3" s="1"/>
  <c r="AB19" i="3"/>
  <c r="AC19" i="3" s="1"/>
  <c r="Q19" i="3"/>
  <c r="G19" i="3"/>
  <c r="K19" i="3" s="1"/>
  <c r="AH9" i="3"/>
  <c r="AE9" i="3"/>
  <c r="J54" i="3" l="1"/>
  <c r="L54" i="3" s="1"/>
  <c r="M53" i="3"/>
  <c r="J53" i="3"/>
  <c r="L53" i="3" s="1"/>
  <c r="M51" i="3"/>
  <c r="J51" i="3"/>
  <c r="L51" i="3" s="1"/>
  <c r="M52" i="3"/>
  <c r="J52" i="3"/>
  <c r="L52" i="3" s="1"/>
  <c r="H14" i="3"/>
  <c r="J14" i="3" s="1"/>
  <c r="K17" i="3"/>
  <c r="H17" i="3"/>
  <c r="J17" i="3" s="1"/>
  <c r="K16" i="3"/>
  <c r="H16" i="3"/>
  <c r="J16" i="3" s="1"/>
  <c r="H13" i="3"/>
  <c r="J13" i="3" s="1"/>
  <c r="K13" i="3"/>
  <c r="I14" i="3"/>
  <c r="H19" i="3"/>
  <c r="J19" i="3" s="1"/>
  <c r="K12" i="3"/>
  <c r="H12" i="3"/>
  <c r="J12" i="3" s="1"/>
  <c r="I19" i="3"/>
  <c r="AB22" i="3" l="1"/>
  <c r="AC22" i="3" s="1"/>
  <c r="Q22" i="3"/>
  <c r="G22" i="3"/>
  <c r="K22" i="3" s="1"/>
  <c r="AB23" i="3"/>
  <c r="AC23" i="3" s="1"/>
  <c r="Q23" i="3"/>
  <c r="G23" i="3"/>
  <c r="I23" i="3" s="1"/>
  <c r="AD49" i="3"/>
  <c r="AE49" i="3" s="1"/>
  <c r="S49" i="3"/>
  <c r="AG49" i="3" s="1"/>
  <c r="I49" i="3"/>
  <c r="K49" i="3" s="1"/>
  <c r="AD47" i="3"/>
  <c r="AE47" i="3" s="1"/>
  <c r="S47" i="3"/>
  <c r="AG47" i="3" s="1"/>
  <c r="I47" i="3"/>
  <c r="M47" i="3" s="1"/>
  <c r="AD72" i="3"/>
  <c r="AE72" i="3" s="1"/>
  <c r="S72" i="3"/>
  <c r="AG72" i="3" s="1"/>
  <c r="I72" i="3"/>
  <c r="K72" i="3" s="1"/>
  <c r="AD71" i="3"/>
  <c r="AE71" i="3" s="1"/>
  <c r="S71" i="3"/>
  <c r="AG71" i="3" s="1"/>
  <c r="I71" i="3"/>
  <c r="K71" i="3" s="1"/>
  <c r="AD70" i="3"/>
  <c r="AE70" i="3" s="1"/>
  <c r="S70" i="3"/>
  <c r="AG70" i="3" s="1"/>
  <c r="I70" i="3"/>
  <c r="M70" i="3" s="1"/>
  <c r="AD76" i="3"/>
  <c r="AE76" i="3" s="1"/>
  <c r="S76" i="3"/>
  <c r="I76" i="3"/>
  <c r="K76" i="3" s="1"/>
  <c r="AD75" i="3"/>
  <c r="AE75" i="3" s="1"/>
  <c r="S75" i="3"/>
  <c r="I75" i="3"/>
  <c r="J75" i="3" s="1"/>
  <c r="L75" i="3" s="1"/>
  <c r="AD67" i="3"/>
  <c r="AE67" i="3" s="1"/>
  <c r="S67" i="3"/>
  <c r="I67" i="3"/>
  <c r="K67" i="3" s="1"/>
  <c r="AD68" i="3"/>
  <c r="AE68" i="3" s="1"/>
  <c r="S68" i="3"/>
  <c r="I68" i="3"/>
  <c r="K68" i="3" s="1"/>
  <c r="AD66" i="3"/>
  <c r="AE66" i="3" s="1"/>
  <c r="S66" i="3"/>
  <c r="I66" i="3"/>
  <c r="K66" i="3" s="1"/>
  <c r="AD57" i="3"/>
  <c r="AE57" i="3" s="1"/>
  <c r="S57" i="3"/>
  <c r="I57" i="3"/>
  <c r="K57" i="3" s="1"/>
  <c r="AD62" i="3"/>
  <c r="AE62" i="3" s="1"/>
  <c r="S62" i="3"/>
  <c r="AG62" i="3" s="1"/>
  <c r="I62" i="3"/>
  <c r="K62" i="3" s="1"/>
  <c r="AD61" i="3"/>
  <c r="AE61" i="3" s="1"/>
  <c r="S61" i="3"/>
  <c r="AG61" i="3" s="1"/>
  <c r="I61" i="3"/>
  <c r="J61" i="3" s="1"/>
  <c r="L61" i="3" s="1"/>
  <c r="AD60" i="3"/>
  <c r="AE60" i="3" s="1"/>
  <c r="S60" i="3"/>
  <c r="AG60" i="3" s="1"/>
  <c r="I60" i="3"/>
  <c r="AD59" i="3"/>
  <c r="AE59" i="3" s="1"/>
  <c r="S59" i="3"/>
  <c r="AG59" i="3" s="1"/>
  <c r="I59" i="3"/>
  <c r="J59" i="3" s="1"/>
  <c r="L59" i="3" s="1"/>
  <c r="AD58" i="3"/>
  <c r="AE58" i="3" s="1"/>
  <c r="S58" i="3"/>
  <c r="AG58" i="3" s="1"/>
  <c r="I58" i="3"/>
  <c r="K58" i="3" s="1"/>
  <c r="AD46" i="3"/>
  <c r="AE46" i="3" s="1"/>
  <c r="S46" i="3"/>
  <c r="AG46" i="3" s="1"/>
  <c r="I46" i="3"/>
  <c r="K46" i="3" s="1"/>
  <c r="AD48" i="3"/>
  <c r="AE48" i="3" s="1"/>
  <c r="S48" i="3"/>
  <c r="AG48" i="3" s="1"/>
  <c r="I48" i="3"/>
  <c r="K48" i="3" s="1"/>
  <c r="AD44" i="3"/>
  <c r="AE44" i="3" s="1"/>
  <c r="S44" i="3"/>
  <c r="I44" i="3"/>
  <c r="K44" i="3" s="1"/>
  <c r="AD42" i="3"/>
  <c r="AE42" i="3" s="1"/>
  <c r="S42" i="3"/>
  <c r="I42" i="3"/>
  <c r="K42" i="3" s="1"/>
  <c r="AD41" i="3"/>
  <c r="AE41" i="3" s="1"/>
  <c r="S41" i="3"/>
  <c r="I41" i="3"/>
  <c r="M41" i="3" s="1"/>
  <c r="AD40" i="3"/>
  <c r="AE40" i="3" s="1"/>
  <c r="S40" i="3"/>
  <c r="I40" i="3"/>
  <c r="M40" i="3" s="1"/>
  <c r="AB18" i="3"/>
  <c r="AC18" i="3" s="1"/>
  <c r="Q18" i="3"/>
  <c r="G18" i="3"/>
  <c r="K18" i="3" s="1"/>
  <c r="AB30" i="3"/>
  <c r="AC30" i="3" s="1"/>
  <c r="Q30" i="3"/>
  <c r="G30" i="3"/>
  <c r="I30" i="3" s="1"/>
  <c r="AB28" i="3"/>
  <c r="AC28" i="3" s="1"/>
  <c r="Q28" i="3"/>
  <c r="G28" i="3"/>
  <c r="I28" i="3" s="1"/>
  <c r="G26" i="3"/>
  <c r="H26" i="3" s="1"/>
  <c r="J26" i="3" s="1"/>
  <c r="Q26" i="3"/>
  <c r="AB26" i="3"/>
  <c r="AC26" i="3" s="1"/>
  <c r="AB24" i="3"/>
  <c r="Q24" i="3"/>
  <c r="G24" i="3"/>
  <c r="K24" i="3" s="1"/>
  <c r="I9" i="3"/>
  <c r="AB31" i="3"/>
  <c r="AC31" i="3" s="1"/>
  <c r="Q31" i="3"/>
  <c r="G31" i="3"/>
  <c r="I31" i="3" s="1"/>
  <c r="AB29" i="3"/>
  <c r="Q29" i="3"/>
  <c r="G29" i="3"/>
  <c r="I29" i="3" s="1"/>
  <c r="AB27" i="3"/>
  <c r="Q27" i="3"/>
  <c r="G27" i="3"/>
  <c r="I27" i="3" s="1"/>
  <c r="AB25" i="3"/>
  <c r="Q25" i="3"/>
  <c r="G25" i="3"/>
  <c r="K25" i="3" s="1"/>
  <c r="AB21" i="3"/>
  <c r="AC21" i="3" s="1"/>
  <c r="Q21" i="3"/>
  <c r="G21" i="3"/>
  <c r="K21" i="3" s="1"/>
  <c r="AB20" i="3"/>
  <c r="Q20" i="3"/>
  <c r="G20" i="3"/>
  <c r="K20" i="3" s="1"/>
  <c r="AB15" i="3"/>
  <c r="AC15" i="3" s="1"/>
  <c r="Q15" i="3"/>
  <c r="G15" i="3"/>
  <c r="K15" i="3" s="1"/>
  <c r="AB11" i="3"/>
  <c r="AC11" i="3" s="1"/>
  <c r="Q11" i="3"/>
  <c r="G11" i="3"/>
  <c r="K11" i="3" s="1"/>
  <c r="AB10" i="3"/>
  <c r="AC10" i="3" s="1"/>
  <c r="Q10" i="3"/>
  <c r="G10" i="3"/>
  <c r="H10" i="3" s="1"/>
  <c r="J10" i="3" s="1"/>
  <c r="AB9" i="3"/>
  <c r="AC9" i="3" s="1"/>
  <c r="Q9" i="3"/>
  <c r="G9" i="3"/>
  <c r="J60" i="3" l="1"/>
  <c r="L60" i="3" s="1"/>
  <c r="K60" i="3"/>
  <c r="H22" i="3"/>
  <c r="J22" i="3" s="1"/>
  <c r="I22" i="3"/>
  <c r="K23" i="3"/>
  <c r="J47" i="3"/>
  <c r="L47" i="3" s="1"/>
  <c r="H23" i="3"/>
  <c r="J23" i="3" s="1"/>
  <c r="K47" i="3"/>
  <c r="K75" i="3"/>
  <c r="M49" i="3"/>
  <c r="J49" i="3"/>
  <c r="L49" i="3" s="1"/>
  <c r="M72" i="3"/>
  <c r="J70" i="3"/>
  <c r="L70" i="3" s="1"/>
  <c r="J71" i="3"/>
  <c r="L71" i="3" s="1"/>
  <c r="J72" i="3"/>
  <c r="L72" i="3" s="1"/>
  <c r="K70" i="3"/>
  <c r="M71" i="3"/>
  <c r="M76" i="3"/>
  <c r="J76" i="3"/>
  <c r="L76" i="3" s="1"/>
  <c r="M75" i="3"/>
  <c r="M68" i="3"/>
  <c r="M67" i="3"/>
  <c r="J68" i="3"/>
  <c r="L68" i="3" s="1"/>
  <c r="J67" i="3"/>
  <c r="L67" i="3" s="1"/>
  <c r="M66" i="3"/>
  <c r="J66" i="3"/>
  <c r="L66" i="3" s="1"/>
  <c r="M57" i="3"/>
  <c r="J57" i="3"/>
  <c r="L57" i="3" s="1"/>
  <c r="M58" i="3"/>
  <c r="M61" i="3"/>
  <c r="M62" i="3"/>
  <c r="J58" i="3"/>
  <c r="L58" i="3" s="1"/>
  <c r="J62" i="3"/>
  <c r="L62" i="3" s="1"/>
  <c r="K26" i="3"/>
  <c r="K59" i="3"/>
  <c r="K61" i="3"/>
  <c r="M59" i="3"/>
  <c r="M60" i="3"/>
  <c r="M46" i="3"/>
  <c r="J46" i="3"/>
  <c r="L46" i="3" s="1"/>
  <c r="M42" i="3"/>
  <c r="J48" i="3"/>
  <c r="L48" i="3" s="1"/>
  <c r="M48" i="3"/>
  <c r="M44" i="3"/>
  <c r="J40" i="3"/>
  <c r="L40" i="3" s="1"/>
  <c r="J41" i="3"/>
  <c r="L41" i="3" s="1"/>
  <c r="J42" i="3"/>
  <c r="L42" i="3" s="1"/>
  <c r="J44" i="3"/>
  <c r="L44" i="3" s="1"/>
  <c r="K40" i="3"/>
  <c r="K41" i="3"/>
  <c r="H18" i="3"/>
  <c r="J18" i="3" s="1"/>
  <c r="I18" i="3"/>
  <c r="K30" i="3"/>
  <c r="H30" i="3"/>
  <c r="J30" i="3" s="1"/>
  <c r="K28" i="3"/>
  <c r="H28" i="3"/>
  <c r="J28" i="3" s="1"/>
  <c r="I26" i="3"/>
  <c r="H24" i="3"/>
  <c r="J24" i="3" s="1"/>
  <c r="I24" i="3"/>
  <c r="AC24" i="3"/>
  <c r="I25" i="3"/>
  <c r="I21" i="3"/>
  <c r="I10" i="3"/>
  <c r="I20" i="3"/>
  <c r="I15" i="3"/>
  <c r="I11" i="3"/>
  <c r="AC25" i="3"/>
  <c r="H20" i="3"/>
  <c r="H25" i="3"/>
  <c r="H27" i="3"/>
  <c r="AC29" i="3"/>
  <c r="H31" i="3"/>
  <c r="AC20" i="3"/>
  <c r="H9" i="3"/>
  <c r="K9" i="3"/>
  <c r="H29" i="3"/>
  <c r="K29" i="3"/>
  <c r="H21" i="3"/>
  <c r="K10" i="3"/>
  <c r="H11" i="3"/>
  <c r="AC27" i="3"/>
  <c r="H15" i="3"/>
  <c r="K27" i="3"/>
  <c r="K31" i="3"/>
  <c r="AF75" i="1"/>
  <c r="AL75" i="1" s="1"/>
  <c r="Z75" i="1"/>
  <c r="Q75" i="1"/>
  <c r="F75" i="1"/>
  <c r="G75" i="1" s="1"/>
  <c r="I75" i="1" s="1"/>
  <c r="F76" i="1"/>
  <c r="G76" i="1"/>
  <c r="H76" i="1"/>
  <c r="I76" i="1"/>
  <c r="S76" i="1" s="1"/>
  <c r="J76" i="1"/>
  <c r="Q76" i="1"/>
  <c r="R76" i="1"/>
  <c r="Z76" i="1"/>
  <c r="AF76" i="1"/>
  <c r="AG76" i="1"/>
  <c r="AL76" i="1"/>
  <c r="AM76" i="1"/>
  <c r="J9" i="3" l="1"/>
  <c r="J15" i="3"/>
  <c r="J11" i="3"/>
  <c r="J20" i="3"/>
  <c r="J31" i="3"/>
  <c r="J21" i="3"/>
  <c r="J25" i="3"/>
  <c r="J29" i="3"/>
  <c r="J27" i="3"/>
  <c r="S75" i="1"/>
  <c r="J75" i="1"/>
  <c r="AM75" i="1" s="1"/>
  <c r="H75" i="1"/>
  <c r="R75" i="1"/>
  <c r="AG75" i="1"/>
  <c r="Z80" i="1"/>
  <c r="Z72" i="1"/>
  <c r="AF71" i="1"/>
  <c r="AG71" i="1" s="1"/>
  <c r="Q71" i="1"/>
  <c r="I71" i="1"/>
  <c r="S71" i="1" s="1"/>
  <c r="H71" i="1"/>
  <c r="R71" i="1" s="1"/>
  <c r="G71" i="1"/>
  <c r="F71" i="1"/>
  <c r="J71" i="1" s="1"/>
  <c r="AM71" i="1" s="1"/>
  <c r="AF70" i="1"/>
  <c r="AL70" i="1" s="1"/>
  <c r="Z70" i="1"/>
  <c r="Q70" i="1"/>
  <c r="G70" i="1"/>
  <c r="I70" i="1" s="1"/>
  <c r="F70" i="1"/>
  <c r="J70" i="1" s="1"/>
  <c r="AM70" i="1" s="1"/>
  <c r="F72" i="1"/>
  <c r="G72" i="1"/>
  <c r="I72" i="1" s="1"/>
  <c r="S72" i="1" s="1"/>
  <c r="H72" i="1"/>
  <c r="J72" i="1"/>
  <c r="AM72" i="1" s="1"/>
  <c r="Q72" i="1"/>
  <c r="R72" i="1"/>
  <c r="AF72" i="1"/>
  <c r="AG72" i="1" s="1"/>
  <c r="S70" i="1" l="1"/>
  <c r="AL72" i="1"/>
  <c r="H70" i="1"/>
  <c r="R70" i="1"/>
  <c r="AG70" i="1"/>
  <c r="AF78" i="1"/>
  <c r="AL78" i="1" s="1"/>
  <c r="Z78" i="1"/>
  <c r="Q78" i="1"/>
  <c r="F78" i="1"/>
  <c r="J78" i="1" s="1"/>
  <c r="AM78" i="1" s="1"/>
  <c r="AF77" i="1"/>
  <c r="Z77" i="1"/>
  <c r="Q77" i="1"/>
  <c r="F77" i="1"/>
  <c r="H77" i="1" s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L67" i="1" s="1"/>
  <c r="AF68" i="1"/>
  <c r="AL68" i="1" s="1"/>
  <c r="AF69" i="1"/>
  <c r="AL69" i="1" s="1"/>
  <c r="AF73" i="1"/>
  <c r="AL73" i="1" s="1"/>
  <c r="AF74" i="1"/>
  <c r="AL74" i="1" s="1"/>
  <c r="AF79" i="1"/>
  <c r="AL79" i="1" s="1"/>
  <c r="AF80" i="1"/>
  <c r="AL80" i="1" s="1"/>
  <c r="AF81" i="1"/>
  <c r="AF82" i="1"/>
  <c r="AF83" i="1"/>
  <c r="AF84" i="1"/>
  <c r="AF85" i="1"/>
  <c r="AF86" i="1"/>
  <c r="AF87" i="1"/>
  <c r="AF88" i="1"/>
  <c r="AF89" i="1"/>
  <c r="AF90" i="1"/>
  <c r="AF91" i="1"/>
  <c r="AF10" i="1"/>
  <c r="G78" i="1" l="1"/>
  <c r="I78" i="1" s="1"/>
  <c r="S78" i="1" s="1"/>
  <c r="H78" i="1"/>
  <c r="R77" i="1"/>
  <c r="R78" i="1"/>
  <c r="AG78" i="1"/>
  <c r="AG77" i="1"/>
  <c r="AL77" i="1"/>
  <c r="J77" i="1"/>
  <c r="AM77" i="1" s="1"/>
  <c r="G77" i="1"/>
  <c r="I77" i="1" s="1"/>
  <c r="S77" i="1" s="1"/>
  <c r="AG80" i="1"/>
  <c r="Q80" i="1"/>
  <c r="F80" i="1"/>
  <c r="H80" i="1" s="1"/>
  <c r="G80" i="1" l="1"/>
  <c r="I80" i="1" s="1"/>
  <c r="S80" i="1"/>
  <c r="J80" i="1"/>
  <c r="AM80" i="1" s="1"/>
  <c r="R80" i="1"/>
  <c r="AG74" i="1"/>
  <c r="Z74" i="1"/>
  <c r="Q74" i="1"/>
  <c r="F74" i="1"/>
  <c r="H74" i="1" s="1"/>
  <c r="AG69" i="1"/>
  <c r="Z69" i="1"/>
  <c r="Q69" i="1"/>
  <c r="G69" i="1"/>
  <c r="I69" i="1" s="1"/>
  <c r="F69" i="1"/>
  <c r="H69" i="1" s="1"/>
  <c r="S69" i="1" l="1"/>
  <c r="J74" i="1"/>
  <c r="AM74" i="1" s="1"/>
  <c r="G74" i="1"/>
  <c r="I74" i="1" s="1"/>
  <c r="S74" i="1" s="1"/>
  <c r="R74" i="1"/>
  <c r="J69" i="1"/>
  <c r="AM69" i="1" s="1"/>
  <c r="R69" i="1"/>
  <c r="AG63" i="1"/>
  <c r="Z63" i="1"/>
  <c r="Q63" i="1"/>
  <c r="F63" i="1"/>
  <c r="H63" i="1" s="1"/>
  <c r="AG57" i="1"/>
  <c r="Z57" i="1"/>
  <c r="Q57" i="1"/>
  <c r="F57" i="1"/>
  <c r="G57" i="1" s="1"/>
  <c r="I57" i="1" s="1"/>
  <c r="F58" i="1"/>
  <c r="G58" i="1" s="1"/>
  <c r="I58" i="1" s="1"/>
  <c r="Q58" i="1"/>
  <c r="Z58" i="1"/>
  <c r="AG58" i="1"/>
  <c r="S58" i="1" l="1"/>
  <c r="H58" i="1"/>
  <c r="R58" i="1" s="1"/>
  <c r="J58" i="1"/>
  <c r="AM58" i="1" s="1"/>
  <c r="J63" i="1"/>
  <c r="AM63" i="1" s="1"/>
  <c r="G63" i="1"/>
  <c r="I63" i="1" s="1"/>
  <c r="S63" i="1" s="1"/>
  <c r="R63" i="1"/>
  <c r="S57" i="1"/>
  <c r="H57" i="1"/>
  <c r="R57" i="1" s="1"/>
  <c r="J57" i="1"/>
  <c r="AM57" i="1" s="1"/>
  <c r="Z15" i="1"/>
  <c r="Q15" i="1"/>
  <c r="F15" i="1"/>
  <c r="H15" i="1" s="1"/>
  <c r="AG15" i="1" l="1"/>
  <c r="J15" i="1"/>
  <c r="AM15" i="1" s="1"/>
  <c r="G15" i="1"/>
  <c r="I15" i="1" s="1"/>
  <c r="S15" i="1" s="1"/>
  <c r="R15" i="1"/>
  <c r="AG36" i="1"/>
  <c r="Z36" i="1"/>
  <c r="Q36" i="1"/>
  <c r="F36" i="1"/>
  <c r="H36" i="1" s="1"/>
  <c r="AG88" i="1"/>
  <c r="Z88" i="1"/>
  <c r="Q88" i="1"/>
  <c r="F88" i="1"/>
  <c r="G88" i="1" s="1"/>
  <c r="I88" i="1" s="1"/>
  <c r="G36" i="1" l="1"/>
  <c r="I36" i="1" s="1"/>
  <c r="S36" i="1" s="1"/>
  <c r="J36" i="1"/>
  <c r="AM36" i="1" s="1"/>
  <c r="R36" i="1"/>
  <c r="S88" i="1"/>
  <c r="H88" i="1"/>
  <c r="R88" i="1" s="1"/>
  <c r="J88" i="1"/>
  <c r="AM88" i="1" s="1"/>
  <c r="AG51" i="1"/>
  <c r="Z51" i="1"/>
  <c r="Q51" i="1"/>
  <c r="F51" i="1"/>
  <c r="H51" i="1" s="1"/>
  <c r="AG52" i="1"/>
  <c r="Z52" i="1"/>
  <c r="Q52" i="1"/>
  <c r="F52" i="1"/>
  <c r="H52" i="1" s="1"/>
  <c r="F53" i="1"/>
  <c r="G53" i="1" s="1"/>
  <c r="I53" i="1" s="1"/>
  <c r="J53" i="1"/>
  <c r="AM53" i="1" s="1"/>
  <c r="Q53" i="1"/>
  <c r="Z53" i="1"/>
  <c r="AG53" i="1"/>
  <c r="AG50" i="1"/>
  <c r="Z50" i="1"/>
  <c r="Q50" i="1"/>
  <c r="F50" i="1"/>
  <c r="H50" i="1" s="1"/>
  <c r="AG35" i="1"/>
  <c r="Z35" i="1"/>
  <c r="Q35" i="1"/>
  <c r="F35" i="1"/>
  <c r="H35" i="1" s="1"/>
  <c r="AG34" i="1"/>
  <c r="Z34" i="1"/>
  <c r="Q34" i="1"/>
  <c r="F34" i="1"/>
  <c r="G34" i="1" s="1"/>
  <c r="I34" i="1" s="1"/>
  <c r="R35" i="1" l="1"/>
  <c r="H53" i="1"/>
  <c r="R53" i="1" s="1"/>
  <c r="S53" i="1"/>
  <c r="R51" i="1"/>
  <c r="G51" i="1"/>
  <c r="I51" i="1" s="1"/>
  <c r="S51" i="1" s="1"/>
  <c r="J51" i="1"/>
  <c r="AM51" i="1" s="1"/>
  <c r="J52" i="1"/>
  <c r="AM52" i="1" s="1"/>
  <c r="G52" i="1"/>
  <c r="I52" i="1" s="1"/>
  <c r="S52" i="1" s="1"/>
  <c r="R52" i="1"/>
  <c r="J50" i="1"/>
  <c r="AM50" i="1" s="1"/>
  <c r="G50" i="1"/>
  <c r="I50" i="1" s="1"/>
  <c r="S50" i="1" s="1"/>
  <c r="R50" i="1"/>
  <c r="G35" i="1"/>
  <c r="I35" i="1" s="1"/>
  <c r="S35" i="1" s="1"/>
  <c r="J35" i="1"/>
  <c r="AM35" i="1" s="1"/>
  <c r="S34" i="1"/>
  <c r="J34" i="1"/>
  <c r="AM34" i="1" s="1"/>
  <c r="H34" i="1"/>
  <c r="R34" i="1" s="1"/>
  <c r="AG48" i="1"/>
  <c r="Z48" i="1"/>
  <c r="Q48" i="1"/>
  <c r="F48" i="1"/>
  <c r="H48" i="1" s="1"/>
  <c r="AG49" i="1"/>
  <c r="Z49" i="1"/>
  <c r="Q49" i="1"/>
  <c r="F49" i="1"/>
  <c r="H49" i="1" s="1"/>
  <c r="AG47" i="1"/>
  <c r="Z47" i="1"/>
  <c r="Q47" i="1"/>
  <c r="F47" i="1"/>
  <c r="J47" i="1" s="1"/>
  <c r="AM47" i="1" s="1"/>
  <c r="AG33" i="1"/>
  <c r="Z33" i="1"/>
  <c r="Q33" i="1"/>
  <c r="F33" i="1"/>
  <c r="H33" i="1" s="1"/>
  <c r="AG32" i="1"/>
  <c r="Z32" i="1"/>
  <c r="Q32" i="1"/>
  <c r="F32" i="1"/>
  <c r="G32" i="1" s="1"/>
  <c r="I32" i="1" s="1"/>
  <c r="Z14" i="1"/>
  <c r="Q14" i="1"/>
  <c r="F14" i="1"/>
  <c r="G14" i="1" s="1"/>
  <c r="I14" i="1" s="1"/>
  <c r="AG87" i="1"/>
  <c r="Z87" i="1"/>
  <c r="Q87" i="1"/>
  <c r="F87" i="1"/>
  <c r="H87" i="1" s="1"/>
  <c r="AG64" i="1"/>
  <c r="Z64" i="1"/>
  <c r="Q64" i="1"/>
  <c r="F64" i="1"/>
  <c r="H64" i="1" s="1"/>
  <c r="AG31" i="1"/>
  <c r="Z31" i="1"/>
  <c r="Q31" i="1"/>
  <c r="F31" i="1"/>
  <c r="G31" i="1" s="1"/>
  <c r="I31" i="1" s="1"/>
  <c r="Z5" i="2"/>
  <c r="Z13" i="1"/>
  <c r="Q13" i="1"/>
  <c r="F13" i="1"/>
  <c r="H13" i="1" s="1"/>
  <c r="AG13" i="1" l="1"/>
  <c r="AG14" i="1"/>
  <c r="G48" i="1"/>
  <c r="I48" i="1" s="1"/>
  <c r="S48" i="1" s="1"/>
  <c r="S32" i="1"/>
  <c r="R33" i="1"/>
  <c r="J48" i="1"/>
  <c r="AM48" i="1" s="1"/>
  <c r="R48" i="1"/>
  <c r="H14" i="1"/>
  <c r="R14" i="1" s="1"/>
  <c r="R49" i="1"/>
  <c r="G49" i="1"/>
  <c r="I49" i="1" s="1"/>
  <c r="S49" i="1" s="1"/>
  <c r="J49" i="1"/>
  <c r="AM49" i="1" s="1"/>
  <c r="G47" i="1"/>
  <c r="I47" i="1" s="1"/>
  <c r="S47" i="1" s="1"/>
  <c r="H47" i="1"/>
  <c r="R47" i="1" s="1"/>
  <c r="H32" i="1"/>
  <c r="R32" i="1" s="1"/>
  <c r="J33" i="1"/>
  <c r="AM33" i="1" s="1"/>
  <c r="G33" i="1"/>
  <c r="I33" i="1" s="1"/>
  <c r="S33" i="1" s="1"/>
  <c r="J32" i="1"/>
  <c r="AM32" i="1" s="1"/>
  <c r="S14" i="1"/>
  <c r="J14" i="1"/>
  <c r="AM14" i="1" s="1"/>
  <c r="J87" i="1"/>
  <c r="AM87" i="1" s="1"/>
  <c r="G87" i="1"/>
  <c r="I87" i="1" s="1"/>
  <c r="S87" i="1" s="1"/>
  <c r="R87" i="1"/>
  <c r="J64" i="1"/>
  <c r="AM64" i="1" s="1"/>
  <c r="G64" i="1"/>
  <c r="I64" i="1" s="1"/>
  <c r="S64" i="1" s="1"/>
  <c r="R64" i="1"/>
  <c r="S31" i="1"/>
  <c r="H31" i="1"/>
  <c r="R31" i="1" s="1"/>
  <c r="J31" i="1"/>
  <c r="AM31" i="1" s="1"/>
  <c r="J13" i="1"/>
  <c r="AM13" i="1" s="1"/>
  <c r="G13" i="1"/>
  <c r="R13" i="1"/>
  <c r="AG86" i="1"/>
  <c r="Z86" i="1"/>
  <c r="Q86" i="1"/>
  <c r="F86" i="1"/>
  <c r="J86" i="1" s="1"/>
  <c r="AM86" i="1" s="1"/>
  <c r="AG62" i="1"/>
  <c r="Z62" i="1"/>
  <c r="Q62" i="1"/>
  <c r="F62" i="1"/>
  <c r="H62" i="1" s="1"/>
  <c r="AG56" i="1"/>
  <c r="Z56" i="1"/>
  <c r="Q56" i="1"/>
  <c r="F56" i="1"/>
  <c r="H56" i="1" s="1"/>
  <c r="AG46" i="1"/>
  <c r="Z46" i="1"/>
  <c r="Q46" i="1"/>
  <c r="F46" i="1"/>
  <c r="H46" i="1" s="1"/>
  <c r="J59" i="1"/>
  <c r="AM59" i="1" s="1"/>
  <c r="J65" i="1"/>
  <c r="AM65" i="1" s="1"/>
  <c r="J81" i="1"/>
  <c r="AM81" i="1" s="1"/>
  <c r="H86" i="1" l="1"/>
  <c r="R86" i="1" s="1"/>
  <c r="G86" i="1"/>
  <c r="I86" i="1" s="1"/>
  <c r="S86" i="1" s="1"/>
  <c r="I13" i="1"/>
  <c r="S13" i="1" s="1"/>
  <c r="R62" i="1"/>
  <c r="G62" i="1"/>
  <c r="I62" i="1" s="1"/>
  <c r="S62" i="1" s="1"/>
  <c r="J62" i="1"/>
  <c r="AM62" i="1" s="1"/>
  <c r="R56" i="1"/>
  <c r="J56" i="1"/>
  <c r="AM56" i="1" s="1"/>
  <c r="G56" i="1"/>
  <c r="I56" i="1" s="1"/>
  <c r="S56" i="1" s="1"/>
  <c r="R46" i="1"/>
  <c r="J46" i="1"/>
  <c r="AM46" i="1" s="1"/>
  <c r="G46" i="1"/>
  <c r="I46" i="1" s="1"/>
  <c r="S46" i="1" s="1"/>
  <c r="Z12" i="1" l="1"/>
  <c r="Q12" i="1"/>
  <c r="F12" i="1"/>
  <c r="J12" i="1" s="1"/>
  <c r="AM12" i="1" s="1"/>
  <c r="AG12" i="1" l="1"/>
  <c r="H12" i="1"/>
  <c r="R12" i="1" s="1"/>
  <c r="G12" i="1"/>
  <c r="I12" i="1" l="1"/>
  <c r="S12" i="1" s="1"/>
  <c r="AG28" i="1"/>
  <c r="Z28" i="1"/>
  <c r="Q28" i="1"/>
  <c r="F28" i="1"/>
  <c r="G28" i="1" l="1"/>
  <c r="I28" i="1" s="1"/>
  <c r="S28" i="1" s="1"/>
  <c r="J28" i="1"/>
  <c r="AM28" i="1" s="1"/>
  <c r="H28" i="1"/>
  <c r="R28" i="1" s="1"/>
  <c r="AG91" i="1"/>
  <c r="Z91" i="1"/>
  <c r="Q91" i="1"/>
  <c r="F91" i="1"/>
  <c r="AG90" i="1"/>
  <c r="Q90" i="1"/>
  <c r="I90" i="1"/>
  <c r="H90" i="1"/>
  <c r="G90" i="1"/>
  <c r="F90" i="1"/>
  <c r="J90" i="1" s="1"/>
  <c r="AM90" i="1" s="1"/>
  <c r="G91" i="1" l="1"/>
  <c r="I91" i="1" s="1"/>
  <c r="S91" i="1" s="1"/>
  <c r="J91" i="1"/>
  <c r="AM91" i="1" s="1"/>
  <c r="R90" i="1"/>
  <c r="S90" i="1"/>
  <c r="H91" i="1"/>
  <c r="R91" i="1" s="1"/>
  <c r="AG89" i="1"/>
  <c r="Z89" i="1"/>
  <c r="Q89" i="1"/>
  <c r="F89" i="1"/>
  <c r="AG85" i="1"/>
  <c r="Q85" i="1"/>
  <c r="I85" i="1"/>
  <c r="H85" i="1"/>
  <c r="G85" i="1"/>
  <c r="F85" i="1"/>
  <c r="J85" i="1" s="1"/>
  <c r="AM85" i="1" s="1"/>
  <c r="AG44" i="1"/>
  <c r="Z44" i="1"/>
  <c r="Q44" i="1"/>
  <c r="F44" i="1"/>
  <c r="G44" i="1" l="1"/>
  <c r="I44" i="1" s="1"/>
  <c r="J44" i="1"/>
  <c r="AM44" i="1" s="1"/>
  <c r="G89" i="1"/>
  <c r="I89" i="1" s="1"/>
  <c r="S89" i="1" s="1"/>
  <c r="J89" i="1"/>
  <c r="AM89" i="1" s="1"/>
  <c r="H89" i="1"/>
  <c r="R89" i="1" s="1"/>
  <c r="S85" i="1"/>
  <c r="R85" i="1"/>
  <c r="H44" i="1"/>
  <c r="R44" i="1" s="1"/>
  <c r="S44" i="1"/>
  <c r="Z11" i="1"/>
  <c r="Q11" i="1"/>
  <c r="F11" i="1"/>
  <c r="AG11" i="1" l="1"/>
  <c r="H11" i="1"/>
  <c r="R11" i="1" s="1"/>
  <c r="J11" i="1"/>
  <c r="AM11" i="1" s="1"/>
  <c r="G11" i="1"/>
  <c r="AG79" i="1"/>
  <c r="Z79" i="1"/>
  <c r="Q79" i="1"/>
  <c r="F79" i="1"/>
  <c r="AG73" i="1"/>
  <c r="Q73" i="1"/>
  <c r="I73" i="1"/>
  <c r="H73" i="1"/>
  <c r="G73" i="1"/>
  <c r="F73" i="1"/>
  <c r="J73" i="1" s="1"/>
  <c r="AM73" i="1" s="1"/>
  <c r="S73" i="1" l="1"/>
  <c r="G79" i="1"/>
  <c r="I79" i="1" s="1"/>
  <c r="S79" i="1" s="1"/>
  <c r="J79" i="1"/>
  <c r="AM79" i="1" s="1"/>
  <c r="R73" i="1"/>
  <c r="I11" i="1"/>
  <c r="S11" i="1" s="1"/>
  <c r="H79" i="1"/>
  <c r="R79" i="1" s="1"/>
  <c r="AG61" i="1"/>
  <c r="Z61" i="1"/>
  <c r="Q61" i="1"/>
  <c r="F61" i="1"/>
  <c r="AG60" i="1"/>
  <c r="Q60" i="1"/>
  <c r="I60" i="1"/>
  <c r="H60" i="1"/>
  <c r="G60" i="1"/>
  <c r="F60" i="1"/>
  <c r="J60" i="1" s="1"/>
  <c r="AM60" i="1" s="1"/>
  <c r="G61" i="1" l="1"/>
  <c r="I61" i="1" s="1"/>
  <c r="S61" i="1" s="1"/>
  <c r="J61" i="1"/>
  <c r="AM61" i="1" s="1"/>
  <c r="S60" i="1"/>
  <c r="R60" i="1"/>
  <c r="H61" i="1"/>
  <c r="R61" i="1" s="1"/>
  <c r="AG55" i="1"/>
  <c r="Z55" i="1"/>
  <c r="Q55" i="1"/>
  <c r="F55" i="1"/>
  <c r="AG54" i="1"/>
  <c r="Q54" i="1"/>
  <c r="I54" i="1"/>
  <c r="H54" i="1"/>
  <c r="G54" i="1"/>
  <c r="F54" i="1"/>
  <c r="J54" i="1" s="1"/>
  <c r="AM54" i="1" s="1"/>
  <c r="G55" i="1" l="1"/>
  <c r="I55" i="1" s="1"/>
  <c r="S55" i="1" s="1"/>
  <c r="J55" i="1"/>
  <c r="AM55" i="1" s="1"/>
  <c r="S54" i="1"/>
  <c r="R54" i="1"/>
  <c r="H55" i="1"/>
  <c r="R55" i="1" s="1"/>
  <c r="AG84" i="1" l="1"/>
  <c r="Z84" i="1"/>
  <c r="Q84" i="1"/>
  <c r="F84" i="1"/>
  <c r="H84" i="1" s="1"/>
  <c r="AG83" i="1"/>
  <c r="Z83" i="1"/>
  <c r="Q83" i="1"/>
  <c r="F83" i="1"/>
  <c r="AG82" i="1"/>
  <c r="Q82" i="1"/>
  <c r="I82" i="1"/>
  <c r="H82" i="1"/>
  <c r="G82" i="1"/>
  <c r="F82" i="1"/>
  <c r="J82" i="1" s="1"/>
  <c r="AM82" i="1" s="1"/>
  <c r="AG22" i="1"/>
  <c r="AG23" i="1"/>
  <c r="AG24" i="1"/>
  <c r="AG25" i="1"/>
  <c r="AG26" i="1"/>
  <c r="AG27" i="1"/>
  <c r="AG29" i="1"/>
  <c r="AG30" i="1"/>
  <c r="AG37" i="1"/>
  <c r="AG38" i="1"/>
  <c r="AG39" i="1"/>
  <c r="AG40" i="1"/>
  <c r="AG41" i="1"/>
  <c r="AG42" i="1"/>
  <c r="AG43" i="1"/>
  <c r="AG45" i="1"/>
  <c r="AG66" i="1"/>
  <c r="AG67" i="1"/>
  <c r="AG68" i="1"/>
  <c r="AG21" i="1" l="1"/>
  <c r="AG17" i="1"/>
  <c r="AG20" i="1"/>
  <c r="AG16" i="1"/>
  <c r="AG10" i="1"/>
  <c r="AG19" i="1"/>
  <c r="AG18" i="1"/>
  <c r="G83" i="1"/>
  <c r="I83" i="1" s="1"/>
  <c r="S83" i="1" s="1"/>
  <c r="J83" i="1"/>
  <c r="AM83" i="1" s="1"/>
  <c r="G84" i="1"/>
  <c r="I84" i="1" s="1"/>
  <c r="S84" i="1" s="1"/>
  <c r="J84" i="1"/>
  <c r="AM84" i="1" s="1"/>
  <c r="R82" i="1"/>
  <c r="H83" i="1"/>
  <c r="R83" i="1" s="1"/>
  <c r="R84" i="1"/>
  <c r="S82" i="1"/>
  <c r="Z68" i="1"/>
  <c r="Q68" i="1"/>
  <c r="F68" i="1"/>
  <c r="Z10" i="1"/>
  <c r="Q10" i="1"/>
  <c r="F10" i="1"/>
  <c r="Z45" i="1"/>
  <c r="Q45" i="1"/>
  <c r="F45" i="1"/>
  <c r="H68" i="1" l="1"/>
  <c r="J68" i="1"/>
  <c r="AM68" i="1" s="1"/>
  <c r="H45" i="1"/>
  <c r="R45" i="1" s="1"/>
  <c r="J45" i="1"/>
  <c r="AM45" i="1" s="1"/>
  <c r="H10" i="1"/>
  <c r="J10" i="1"/>
  <c r="AM10" i="1" s="1"/>
  <c r="G68" i="1"/>
  <c r="I68" i="1" s="1"/>
  <c r="S68" i="1" s="1"/>
  <c r="R68" i="1"/>
  <c r="G10" i="1"/>
  <c r="I10" i="1" s="1"/>
  <c r="S10" i="1" s="1"/>
  <c r="R10" i="1"/>
  <c r="G45" i="1"/>
  <c r="I45" i="1" s="1"/>
  <c r="S45" i="1" s="1"/>
  <c r="Z37" i="1"/>
  <c r="Q37" i="1"/>
  <c r="F37" i="1"/>
  <c r="Z30" i="1"/>
  <c r="Q30" i="1"/>
  <c r="F30" i="1"/>
  <c r="Z27" i="1"/>
  <c r="Q27" i="1"/>
  <c r="F27" i="1"/>
  <c r="Z25" i="1"/>
  <c r="Q25" i="1"/>
  <c r="F25" i="1"/>
  <c r="Z26" i="1"/>
  <c r="Q26" i="1"/>
  <c r="F26" i="1"/>
  <c r="Z24" i="1"/>
  <c r="Q24" i="1"/>
  <c r="F24" i="1"/>
  <c r="Z22" i="1"/>
  <c r="Q22" i="1"/>
  <c r="F22" i="1"/>
  <c r="Z21" i="1"/>
  <c r="Q21" i="1"/>
  <c r="F21" i="1"/>
  <c r="Z23" i="1"/>
  <c r="Q23" i="1"/>
  <c r="F23" i="1"/>
  <c r="F20" i="1"/>
  <c r="Q20" i="1"/>
  <c r="Z20" i="1"/>
  <c r="Z67" i="1"/>
  <c r="Q67" i="1"/>
  <c r="F67" i="1"/>
  <c r="Q66" i="1"/>
  <c r="I66" i="1"/>
  <c r="H66" i="1"/>
  <c r="G66" i="1"/>
  <c r="F66" i="1"/>
  <c r="J66" i="1" s="1"/>
  <c r="AM66" i="1" s="1"/>
  <c r="H21" i="1" l="1"/>
  <c r="J21" i="1"/>
  <c r="AM21" i="1" s="1"/>
  <c r="H23" i="1"/>
  <c r="R23" i="1" s="1"/>
  <c r="J23" i="1"/>
  <c r="AM23" i="1" s="1"/>
  <c r="G26" i="1"/>
  <c r="I26" i="1" s="1"/>
  <c r="S26" i="1" s="1"/>
  <c r="J26" i="1"/>
  <c r="AM26" i="1" s="1"/>
  <c r="H37" i="1"/>
  <c r="R37" i="1" s="1"/>
  <c r="J37" i="1"/>
  <c r="AM37" i="1" s="1"/>
  <c r="G20" i="1"/>
  <c r="I20" i="1" s="1"/>
  <c r="S20" i="1" s="1"/>
  <c r="J20" i="1"/>
  <c r="AM20" i="1" s="1"/>
  <c r="H24" i="1"/>
  <c r="R24" i="1" s="1"/>
  <c r="J24" i="1"/>
  <c r="AM24" i="1" s="1"/>
  <c r="H30" i="1"/>
  <c r="R30" i="1" s="1"/>
  <c r="J30" i="1"/>
  <c r="AM30" i="1" s="1"/>
  <c r="H25" i="1"/>
  <c r="R25" i="1" s="1"/>
  <c r="J25" i="1"/>
  <c r="AM25" i="1" s="1"/>
  <c r="H67" i="1"/>
  <c r="R67" i="1" s="1"/>
  <c r="J67" i="1"/>
  <c r="AM67" i="1" s="1"/>
  <c r="H22" i="1"/>
  <c r="R22" i="1" s="1"/>
  <c r="J22" i="1"/>
  <c r="AM22" i="1" s="1"/>
  <c r="H27" i="1"/>
  <c r="R27" i="1" s="1"/>
  <c r="J27" i="1"/>
  <c r="AM27" i="1" s="1"/>
  <c r="G37" i="1"/>
  <c r="I37" i="1" s="1"/>
  <c r="S37" i="1" s="1"/>
  <c r="G30" i="1"/>
  <c r="I30" i="1" s="1"/>
  <c r="S30" i="1" s="1"/>
  <c r="S66" i="1"/>
  <c r="H20" i="1"/>
  <c r="R20" i="1" s="1"/>
  <c r="G27" i="1"/>
  <c r="I27" i="1" s="1"/>
  <c r="S27" i="1" s="1"/>
  <c r="G25" i="1"/>
  <c r="I25" i="1" s="1"/>
  <c r="S25" i="1" s="1"/>
  <c r="H26" i="1"/>
  <c r="R26" i="1" s="1"/>
  <c r="G24" i="1"/>
  <c r="I24" i="1" s="1"/>
  <c r="S24" i="1" s="1"/>
  <c r="G21" i="1"/>
  <c r="I21" i="1" s="1"/>
  <c r="S21" i="1" s="1"/>
  <c r="R21" i="1"/>
  <c r="G22" i="1"/>
  <c r="I22" i="1" s="1"/>
  <c r="S22" i="1" s="1"/>
  <c r="G23" i="1"/>
  <c r="I23" i="1" s="1"/>
  <c r="S23" i="1" s="1"/>
  <c r="G67" i="1"/>
  <c r="I67" i="1" s="1"/>
  <c r="S67" i="1" s="1"/>
  <c r="R66" i="1"/>
  <c r="Z43" i="1"/>
  <c r="Q43" i="1"/>
  <c r="F43" i="1"/>
  <c r="H43" i="1" l="1"/>
  <c r="R43" i="1" s="1"/>
  <c r="J43" i="1"/>
  <c r="AM43" i="1" s="1"/>
  <c r="G43" i="1"/>
  <c r="I43" i="1" s="1"/>
  <c r="S43" i="1" s="1"/>
  <c r="Z19" i="1"/>
  <c r="Q19" i="1"/>
  <c r="F19" i="1"/>
  <c r="Z18" i="1"/>
  <c r="Q18" i="1"/>
  <c r="F18" i="1"/>
  <c r="F17" i="1"/>
  <c r="J17" i="1" s="1"/>
  <c r="AM17" i="1" s="1"/>
  <c r="G17" i="1"/>
  <c r="H17" i="1"/>
  <c r="I17" i="1"/>
  <c r="Q17" i="1"/>
  <c r="Z42" i="1"/>
  <c r="Q42" i="1"/>
  <c r="F42" i="1"/>
  <c r="Z41" i="1"/>
  <c r="Q41" i="1"/>
  <c r="F41" i="1"/>
  <c r="H19" i="1" l="1"/>
  <c r="R19" i="1" s="1"/>
  <c r="J19" i="1"/>
  <c r="AM19" i="1" s="1"/>
  <c r="H18" i="1"/>
  <c r="R18" i="1" s="1"/>
  <c r="J18" i="1"/>
  <c r="AM18" i="1" s="1"/>
  <c r="H42" i="1"/>
  <c r="R42" i="1" s="1"/>
  <c r="J42" i="1"/>
  <c r="AM42" i="1" s="1"/>
  <c r="H41" i="1"/>
  <c r="R41" i="1" s="1"/>
  <c r="J41" i="1"/>
  <c r="AM41" i="1" s="1"/>
  <c r="R17" i="1"/>
  <c r="G19" i="1"/>
  <c r="I19" i="1" s="1"/>
  <c r="S19" i="1" s="1"/>
  <c r="S17" i="1"/>
  <c r="G18" i="1"/>
  <c r="I18" i="1" s="1"/>
  <c r="S18" i="1" s="1"/>
  <c r="G42" i="1"/>
  <c r="I42" i="1" s="1"/>
  <c r="S42" i="1" s="1"/>
  <c r="G41" i="1"/>
  <c r="I41" i="1" s="1"/>
  <c r="S41" i="1" s="1"/>
  <c r="Z40" i="1"/>
  <c r="Q40" i="1"/>
  <c r="F40" i="1"/>
  <c r="Z39" i="1"/>
  <c r="Z29" i="1"/>
  <c r="Q39" i="1"/>
  <c r="F39" i="1"/>
  <c r="Q38" i="1"/>
  <c r="I38" i="1"/>
  <c r="H38" i="1"/>
  <c r="G38" i="1"/>
  <c r="F38" i="1"/>
  <c r="J38" i="1" s="1"/>
  <c r="AM38" i="1" s="1"/>
  <c r="Z16" i="1"/>
  <c r="F16" i="1"/>
  <c r="Q29" i="1"/>
  <c r="F29" i="1"/>
  <c r="Q16" i="1"/>
  <c r="I9" i="1"/>
  <c r="G9" i="1"/>
  <c r="F9" i="1"/>
  <c r="Q9" i="1"/>
  <c r="H9" i="1"/>
  <c r="H16" i="1" l="1"/>
  <c r="J16" i="1"/>
  <c r="AM16" i="1" s="1"/>
  <c r="H29" i="1"/>
  <c r="R29" i="1" s="1"/>
  <c r="J29" i="1"/>
  <c r="AM29" i="1" s="1"/>
  <c r="H39" i="1"/>
  <c r="R39" i="1" s="1"/>
  <c r="J39" i="1"/>
  <c r="AM39" i="1" s="1"/>
  <c r="G40" i="1"/>
  <c r="I40" i="1" s="1"/>
  <c r="S40" i="1" s="1"/>
  <c r="J40" i="1"/>
  <c r="AM40" i="1" s="1"/>
  <c r="S38" i="1"/>
  <c r="R9" i="1"/>
  <c r="S9" i="1"/>
  <c r="H40" i="1"/>
  <c r="R40" i="1" s="1"/>
  <c r="G39" i="1"/>
  <c r="I39" i="1" s="1"/>
  <c r="S39" i="1" s="1"/>
  <c r="R38" i="1"/>
  <c r="G29" i="1"/>
  <c r="I29" i="1" s="1"/>
  <c r="S29" i="1" s="1"/>
  <c r="G16" i="1"/>
  <c r="I16" i="1" s="1"/>
  <c r="S16" i="1" s="1"/>
  <c r="R16" i="1"/>
</calcChain>
</file>

<file path=xl/sharedStrings.xml><?xml version="1.0" encoding="utf-8"?>
<sst xmlns="http://schemas.openxmlformats.org/spreadsheetml/2006/main" count="911" uniqueCount="330">
  <si>
    <t>A1</t>
    <phoneticPr fontId="1"/>
  </si>
  <si>
    <t>切断波数</t>
    <rPh sb="0" eb="2">
      <t>セツダン</t>
    </rPh>
    <rPh sb="2" eb="4">
      <t>ハスウ</t>
    </rPh>
    <phoneticPr fontId="1"/>
  </si>
  <si>
    <t xml:space="preserve">showman </t>
    <phoneticPr fontId="1"/>
  </si>
  <si>
    <t>経度 0-120度, 緯度 0-70度</t>
    <rPh sb="0" eb="2">
      <t>ケイド</t>
    </rPh>
    <rPh sb="8" eb="9">
      <t>ド</t>
    </rPh>
    <rPh sb="11" eb="13">
      <t>イド</t>
    </rPh>
    <rPh sb="18" eb="19">
      <t>ド</t>
    </rPh>
    <phoneticPr fontId="1"/>
  </si>
  <si>
    <t>緯度方向
格子点数</t>
    <rPh sb="0" eb="2">
      <t>イド</t>
    </rPh>
    <rPh sb="2" eb="4">
      <t>ホウコウ</t>
    </rPh>
    <rPh sb="5" eb="7">
      <t>コウシ</t>
    </rPh>
    <rPh sb="7" eb="9">
      <t>テンスウ</t>
    </rPh>
    <phoneticPr fontId="1"/>
  </si>
  <si>
    <t>経度方向
格子点間隔</t>
    <rPh sb="0" eb="2">
      <t>ケイド</t>
    </rPh>
    <rPh sb="2" eb="4">
      <t>ホウコウ</t>
    </rPh>
    <rPh sb="5" eb="7">
      <t>コウシ</t>
    </rPh>
    <rPh sb="7" eb="8">
      <t>テン</t>
    </rPh>
    <rPh sb="8" eb="10">
      <t>カンカク</t>
    </rPh>
    <phoneticPr fontId="1"/>
  </si>
  <si>
    <t>緯度方向
格子点間隔</t>
    <rPh sb="0" eb="2">
      <t>イド</t>
    </rPh>
    <rPh sb="2" eb="4">
      <t>ホウコウ</t>
    </rPh>
    <rPh sb="5" eb="7">
      <t>コウシ</t>
    </rPh>
    <rPh sb="7" eb="8">
      <t>テン</t>
    </rPh>
    <rPh sb="8" eb="10">
      <t>カンカク</t>
    </rPh>
    <phoneticPr fontId="1"/>
  </si>
  <si>
    <t>惑星半径
[m]</t>
    <rPh sb="0" eb="2">
      <t>ワクセイ</t>
    </rPh>
    <rPh sb="2" eb="4">
      <t>ハンケイ</t>
    </rPh>
    <phoneticPr fontId="1"/>
  </si>
  <si>
    <t>自転角速度
[s-1]</t>
    <rPh sb="0" eb="2">
      <t>ジテン</t>
    </rPh>
    <rPh sb="2" eb="5">
      <t>カクソクド</t>
    </rPh>
    <phoneticPr fontId="1"/>
  </si>
  <si>
    <t>smax
[m^2s^-3]</t>
    <phoneticPr fontId="1"/>
  </si>
  <si>
    <t>tau_storm
[s]</t>
    <phoneticPr fontId="1"/>
  </si>
  <si>
    <t>tau_interval
[s]</t>
    <phoneticPr fontId="1"/>
  </si>
  <si>
    <t>tau_ape
[s]</t>
    <phoneticPr fontId="1"/>
  </si>
  <si>
    <t>tau_mass
[s]</t>
    <phoneticPr fontId="1"/>
  </si>
  <si>
    <t>gheq
[m^2s^-3]</t>
    <phoneticPr fontId="1"/>
  </si>
  <si>
    <t>r_storm
[°]</t>
    <phoneticPr fontId="1"/>
  </si>
  <si>
    <t>r_storm
[m]</t>
    <phoneticPr fontId="1"/>
  </si>
  <si>
    <t>r_s/経度格子点間隔</t>
    <rPh sb="4" eb="6">
      <t>ケイド</t>
    </rPh>
    <rPh sb="6" eb="8">
      <t>コウシ</t>
    </rPh>
    <rPh sb="8" eb="9">
      <t>テン</t>
    </rPh>
    <rPh sb="9" eb="11">
      <t>カンカク</t>
    </rPh>
    <phoneticPr fontId="1"/>
  </si>
  <si>
    <t>r_s/緯度格子点間隔</t>
    <rPh sb="4" eb="6">
      <t>イド</t>
    </rPh>
    <rPh sb="6" eb="8">
      <t>コウシ</t>
    </rPh>
    <rPh sb="8" eb="9">
      <t>テン</t>
    </rPh>
    <rPh sb="9" eb="11">
      <t>カンカク</t>
    </rPh>
    <phoneticPr fontId="1"/>
  </si>
  <si>
    <t>∞</t>
    <phoneticPr fontId="1"/>
  </si>
  <si>
    <t>?</t>
    <phoneticPr fontId="1"/>
  </si>
  <si>
    <t xml:space="preserve">0-120 
経度方向
格子点数 </t>
    <rPh sb="7" eb="9">
      <t>ケイド</t>
    </rPh>
    <rPh sb="9" eb="11">
      <t>ホウコウ</t>
    </rPh>
    <rPh sb="12" eb="14">
      <t>コウシ</t>
    </rPh>
    <rPh sb="14" eb="16">
      <t>テンスウ</t>
    </rPh>
    <phoneticPr fontId="1"/>
  </si>
  <si>
    <t>0-70
緯度方向
格子点数</t>
    <rPh sb="5" eb="7">
      <t>イド</t>
    </rPh>
    <rPh sb="7" eb="9">
      <t>ホウコウ</t>
    </rPh>
    <rPh sb="10" eb="12">
      <t>コウシ</t>
    </rPh>
    <rPh sb="12" eb="14">
      <t>テンスウ</t>
    </rPh>
    <phoneticPr fontId="1"/>
  </si>
  <si>
    <t>経度方向
格子点数</t>
    <rPh sb="0" eb="2">
      <t>ケイド</t>
    </rPh>
    <rPh sb="2" eb="4">
      <t>ホウコウ</t>
    </rPh>
    <rPh sb="5" eb="7">
      <t>コウシ</t>
    </rPh>
    <rPh sb="7" eb="9">
      <t>テンスウ</t>
    </rPh>
    <phoneticPr fontId="1"/>
  </si>
  <si>
    <t>A2</t>
    <phoneticPr fontId="1"/>
  </si>
  <si>
    <t>ストームの直径に格子点が6~8またがっている</t>
    <rPh sb="5" eb="7">
      <t>チョッケイ</t>
    </rPh>
    <rPh sb="8" eb="10">
      <t>コウシ</t>
    </rPh>
    <rPh sb="10" eb="11">
      <t>テン</t>
    </rPh>
    <phoneticPr fontId="1"/>
  </si>
  <si>
    <t>時間刻みは2~20sで設定</t>
    <rPh sb="0" eb="2">
      <t>ジカン</t>
    </rPh>
    <rPh sb="2" eb="3">
      <t>キザ</t>
    </rPh>
    <rPh sb="11" eb="13">
      <t>セッテイ</t>
    </rPh>
    <phoneticPr fontId="1"/>
  </si>
  <si>
    <t>dt(2~20)
[s]</t>
    <phoneticPr fontId="1"/>
  </si>
  <si>
    <t>nstep</t>
    <phoneticPr fontId="1"/>
  </si>
  <si>
    <t>計算時間 3000~10000日</t>
    <rPh sb="0" eb="2">
      <t>ケイサン</t>
    </rPh>
    <rPh sb="2" eb="4">
      <t>ジカン</t>
    </rPh>
    <rPh sb="15" eb="16">
      <t>ニチ</t>
    </rPh>
    <phoneticPr fontId="1"/>
  </si>
  <si>
    <t>計算日数
(地球日)</t>
    <rPh sb="0" eb="2">
      <t>ケイサン</t>
    </rPh>
    <rPh sb="2" eb="4">
      <t>ニッスウ</t>
    </rPh>
    <rPh sb="6" eb="8">
      <t>チキュウ</t>
    </rPh>
    <rPh sb="8" eb="9">
      <t>ニチ</t>
    </rPh>
    <phoneticPr fontId="1"/>
  </si>
  <si>
    <t>alpha</t>
    <phoneticPr fontId="1"/>
  </si>
  <si>
    <t>A3</t>
    <phoneticPr fontId="1"/>
  </si>
  <si>
    <t>超粘性次数</t>
    <rPh sb="0" eb="1">
      <t>チョウ</t>
    </rPh>
    <rPh sb="1" eb="3">
      <t>ネンセイ</t>
    </rPh>
    <rPh sb="3" eb="5">
      <t>ジスウ</t>
    </rPh>
    <phoneticPr fontId="1"/>
  </si>
  <si>
    <t>超粘性係数</t>
    <rPh sb="0" eb="1">
      <t>チョウ</t>
    </rPh>
    <rPh sb="1" eb="3">
      <t>ネンセイ</t>
    </rPh>
    <rPh sb="3" eb="5">
      <t>ケイスウ</t>
    </rPh>
    <phoneticPr fontId="1"/>
  </si>
  <si>
    <t>3日目でNaN×</t>
    <rPh sb="1" eb="2">
      <t>ニチ</t>
    </rPh>
    <rPh sb="2" eb="3">
      <t>メ</t>
    </rPh>
    <phoneticPr fontId="1"/>
  </si>
  <si>
    <t>6日目でNaN×</t>
    <rPh sb="1" eb="2">
      <t>ニチ</t>
    </rPh>
    <rPh sb="2" eb="3">
      <t>メ</t>
    </rPh>
    <phoneticPr fontId="1"/>
  </si>
  <si>
    <t>分布</t>
    <rPh sb="0" eb="2">
      <t>ブンプ</t>
    </rPh>
    <phoneticPr fontId="1"/>
  </si>
  <si>
    <t>全球</t>
    <rPh sb="0" eb="2">
      <t>ゼンキュウ</t>
    </rPh>
    <phoneticPr fontId="1"/>
  </si>
  <si>
    <t>ストームの個数</t>
    <rPh sb="5" eb="7">
      <t>コスウ</t>
    </rPh>
    <phoneticPr fontId="1"/>
  </si>
  <si>
    <t>a3</t>
    <phoneticPr fontId="1"/>
  </si>
  <si>
    <t>a3_2</t>
    <phoneticPr fontId="1"/>
  </si>
  <si>
    <t>a2</t>
    <phoneticPr fontId="1"/>
  </si>
  <si>
    <t>9日目でNaN×</t>
    <rPh sb="1" eb="2">
      <t>ニチ</t>
    </rPh>
    <rPh sb="2" eb="3">
      <t>メ</t>
    </rPh>
    <phoneticPr fontId="1"/>
  </si>
  <si>
    <t>a3_3</t>
    <phoneticPr fontId="1"/>
  </si>
  <si>
    <t>-70:70</t>
    <phoneticPr fontId="1"/>
  </si>
  <si>
    <t>×</t>
    <phoneticPr fontId="1"/>
  </si>
  <si>
    <t>a2_2</t>
    <phoneticPr fontId="1"/>
  </si>
  <si>
    <t>37日目でNaN×</t>
    <rPh sb="2" eb="3">
      <t>ニチ</t>
    </rPh>
    <rPh sb="3" eb="4">
      <t>メ</t>
    </rPh>
    <phoneticPr fontId="1"/>
  </si>
  <si>
    <t>a2_3</t>
    <phoneticPr fontId="1"/>
  </si>
  <si>
    <t>8日目でNaN×</t>
    <rPh sb="1" eb="2">
      <t>ニチ</t>
    </rPh>
    <rPh sb="2" eb="3">
      <t>メ</t>
    </rPh>
    <phoneticPr fontId="1"/>
  </si>
  <si>
    <t>a3_4</t>
    <phoneticPr fontId="1"/>
  </si>
  <si>
    <t>-60:60</t>
    <phoneticPr fontId="1"/>
  </si>
  <si>
    <t>Simulation</t>
  </si>
  <si>
    <t>α</t>
  </si>
  <si>
    <t>Ld0 (km)</t>
  </si>
  <si>
    <t>smax (m2s-3)</t>
  </si>
  <si>
    <t>Bu = (Ld0/a)2</t>
  </si>
  <si>
    <t>a (km)</t>
  </si>
  <si>
    <t>rstorm (km)</t>
  </si>
  <si>
    <t>Ω (s-1)</t>
  </si>
  <si>
    <t>f0 (s-1)</t>
  </si>
  <si>
    <t>ɤ (ms-1)</t>
  </si>
  <si>
    <t>grids per side</t>
  </si>
  <si>
    <t>km/grid</t>
  </si>
  <si>
    <t>dt (s)</t>
  </si>
  <si>
    <t>Bustorm = (Ld0/rstorm)2</t>
  </si>
  <si>
    <t>gh (m2s-2)</t>
  </si>
  <si>
    <t>hypervisc. coeff ν8 (m8s-1)</t>
  </si>
  <si>
    <t xml:space="preserve">div. damp. (m2s-1) </t>
  </si>
  <si>
    <t>τstorm (s)</t>
  </si>
  <si>
    <t>τinterval (s)</t>
  </si>
  <si>
    <t>τAPE (s)</t>
  </si>
  <si>
    <t>(0.5_2000_5.0)-100</t>
  </si>
  <si>
    <t>D1a</t>
    <phoneticPr fontId="1"/>
  </si>
  <si>
    <t>d1a</t>
    <phoneticPr fontId="1"/>
  </si>
  <si>
    <t>a2_4</t>
    <phoneticPr fontId="1"/>
  </si>
  <si>
    <t>a2_5</t>
    <phoneticPr fontId="1"/>
  </si>
  <si>
    <t>a2_6</t>
    <phoneticPr fontId="1"/>
  </si>
  <si>
    <t>a2_7</t>
    <phoneticPr fontId="1"/>
  </si>
  <si>
    <t>38日目でNaN×</t>
    <rPh sb="2" eb="3">
      <t>ニチ</t>
    </rPh>
    <rPh sb="3" eb="4">
      <t>メ</t>
    </rPh>
    <phoneticPr fontId="1"/>
  </si>
  <si>
    <t>a2_8</t>
    <phoneticPr fontId="1"/>
  </si>
  <si>
    <t>a2_9</t>
    <phoneticPr fontId="1"/>
  </si>
  <si>
    <t>a2_10</t>
    <phoneticPr fontId="1"/>
  </si>
  <si>
    <t>a2_11</t>
    <phoneticPr fontId="1"/>
  </si>
  <si>
    <t>11日目でNaN</t>
    <rPh sb="2" eb="3">
      <t>ニチ</t>
    </rPh>
    <rPh sb="3" eb="4">
      <t>メ</t>
    </rPh>
    <phoneticPr fontId="1"/>
  </si>
  <si>
    <t>×</t>
    <phoneticPr fontId="1"/>
  </si>
  <si>
    <t>a2_12</t>
    <phoneticPr fontId="1"/>
  </si>
  <si>
    <t>a2_13</t>
    <phoneticPr fontId="1"/>
  </si>
  <si>
    <t>a2_14</t>
    <phoneticPr fontId="1"/>
  </si>
  <si>
    <t>43日目でNaN×</t>
    <rPh sb="2" eb="4">
      <t>ニチメ</t>
    </rPh>
    <phoneticPr fontId="1"/>
  </si>
  <si>
    <t>散逸がききすぎか</t>
    <rPh sb="0" eb="2">
      <t>サンイツ</t>
    </rPh>
    <phoneticPr fontId="1"/>
  </si>
  <si>
    <t>極域でCFLぽいので中断</t>
    <rPh sb="0" eb="1">
      <t>キョク</t>
    </rPh>
    <rPh sb="1" eb="2">
      <t>イキ</t>
    </rPh>
    <rPh sb="10" eb="12">
      <t>チュウダン</t>
    </rPh>
    <phoneticPr fontId="1"/>
  </si>
  <si>
    <t>a3_5</t>
    <phoneticPr fontId="1"/>
  </si>
  <si>
    <t>a1</t>
    <phoneticPr fontId="1"/>
  </si>
  <si>
    <t>a1_2</t>
    <phoneticPr fontId="1"/>
  </si>
  <si>
    <t>A1</t>
    <phoneticPr fontId="1"/>
  </si>
  <si>
    <t>d1a_2</t>
    <phoneticPr fontId="1"/>
  </si>
  <si>
    <t>Ld</t>
    <phoneticPr fontId="1"/>
  </si>
  <si>
    <t>Bu</t>
    <phoneticPr fontId="1"/>
  </si>
  <si>
    <t>173日まで計算出来ているが，中断</t>
    <rPh sb="3" eb="4">
      <t>ニチ</t>
    </rPh>
    <rPh sb="6" eb="8">
      <t>ケイサン</t>
    </rPh>
    <rPh sb="8" eb="10">
      <t>デキ</t>
    </rPh>
    <rPh sb="15" eb="17">
      <t>チュウダン</t>
    </rPh>
    <phoneticPr fontId="1"/>
  </si>
  <si>
    <t>174日</t>
    <rPh sb="3" eb="4">
      <t>ニチ</t>
    </rPh>
    <phoneticPr fontId="1"/>
  </si>
  <si>
    <t>C1</t>
    <phoneticPr fontId="1"/>
  </si>
  <si>
    <t>-0.100</t>
    <phoneticPr fontId="1"/>
  </si>
  <si>
    <t>c1</t>
    <phoneticPr fontId="1"/>
  </si>
  <si>
    <t>c1_2</t>
    <phoneticPr fontId="1"/>
  </si>
  <si>
    <t>北極での速度たまり</t>
    <rPh sb="0" eb="2">
      <t>ホッキョク</t>
    </rPh>
    <rPh sb="4" eb="6">
      <t>ソクド</t>
    </rPh>
    <phoneticPr fontId="1"/>
  </si>
  <si>
    <t>ある</t>
    <phoneticPr fontId="1"/>
  </si>
  <si>
    <t>115日まで計算出来ているが，中断</t>
    <rPh sb="3" eb="4">
      <t>ニチ</t>
    </rPh>
    <rPh sb="6" eb="8">
      <t>ケイサン</t>
    </rPh>
    <rPh sb="8" eb="10">
      <t>デキ</t>
    </rPh>
    <rPh sb="15" eb="17">
      <t>チュウダン</t>
    </rPh>
    <phoneticPr fontId="1"/>
  </si>
  <si>
    <t>115日</t>
    <rPh sb="3" eb="4">
      <t>ニチ</t>
    </rPh>
    <phoneticPr fontId="1"/>
  </si>
  <si>
    <t>A4</t>
    <phoneticPr fontId="1"/>
  </si>
  <si>
    <t>a4</t>
    <phoneticPr fontId="1"/>
  </si>
  <si>
    <t>木星的</t>
    <rPh sb="0" eb="2">
      <t>モクセイ</t>
    </rPh>
    <rPh sb="2" eb="3">
      <t>テキ</t>
    </rPh>
    <phoneticPr fontId="3"/>
  </si>
  <si>
    <t>遷移状態</t>
    <rPh sb="0" eb="2">
      <t>センイ</t>
    </rPh>
    <rPh sb="2" eb="4">
      <t>ジョウタイ</t>
    </rPh>
    <phoneticPr fontId="3"/>
  </si>
  <si>
    <t>土星的</t>
    <rPh sb="0" eb="2">
      <t>ドセイ</t>
    </rPh>
    <rPh sb="2" eb="3">
      <t>テキ</t>
    </rPh>
    <phoneticPr fontId="3"/>
  </si>
  <si>
    <t>氷巨大惑星的</t>
    <rPh sb="0" eb="1">
      <t>コオリ</t>
    </rPh>
    <rPh sb="1" eb="3">
      <t>キョダイ</t>
    </rPh>
    <rPh sb="3" eb="5">
      <t>ワクセイ</t>
    </rPh>
    <rPh sb="5" eb="6">
      <t>テキ</t>
    </rPh>
    <phoneticPr fontId="3"/>
  </si>
  <si>
    <t>A5</t>
    <phoneticPr fontId="1"/>
  </si>
  <si>
    <t>a5</t>
    <phoneticPr fontId="1"/>
  </si>
  <si>
    <t>321日目まで計算出来ているが，中断</t>
    <rPh sb="3" eb="4">
      <t>ニチ</t>
    </rPh>
    <rPh sb="4" eb="5">
      <t>メ</t>
    </rPh>
    <rPh sb="7" eb="9">
      <t>ケイサン</t>
    </rPh>
    <rPh sb="9" eb="11">
      <t>デキ</t>
    </rPh>
    <rPh sb="16" eb="18">
      <t>チュウダン</t>
    </rPh>
    <phoneticPr fontId="1"/>
  </si>
  <si>
    <t>少しある</t>
    <rPh sb="0" eb="1">
      <t>スコ</t>
    </rPh>
    <phoneticPr fontId="1"/>
  </si>
  <si>
    <t>臨界緯度[degree]</t>
    <rPh sb="0" eb="2">
      <t>リンカイ</t>
    </rPh>
    <rPh sb="2" eb="4">
      <t>イド</t>
    </rPh>
    <phoneticPr fontId="1"/>
  </si>
  <si>
    <t>ミス</t>
    <phoneticPr fontId="1"/>
  </si>
  <si>
    <t>d1a_3</t>
    <phoneticPr fontId="1"/>
  </si>
  <si>
    <t>D1b</t>
    <phoneticPr fontId="1"/>
  </si>
  <si>
    <t>d1b</t>
    <phoneticPr fontId="1"/>
  </si>
  <si>
    <t>a1_3</t>
    <phoneticPr fontId="1"/>
  </si>
  <si>
    <t>test</t>
    <phoneticPr fontId="1"/>
  </si>
  <si>
    <t>ip16_num1</t>
    <phoneticPr fontId="1"/>
  </si>
  <si>
    <t>ip8_num2</t>
    <phoneticPr fontId="1"/>
  </si>
  <si>
    <t>ip4_num4</t>
    <phoneticPr fontId="1"/>
  </si>
  <si>
    <t>sec</t>
    <phoneticPr fontId="1"/>
  </si>
  <si>
    <t>T341</t>
    <phoneticPr fontId="1"/>
  </si>
  <si>
    <t>T</t>
    <phoneticPr fontId="1"/>
  </si>
  <si>
    <t>IM</t>
    <phoneticPr fontId="1"/>
  </si>
  <si>
    <t>JM</t>
    <phoneticPr fontId="1"/>
  </si>
  <si>
    <t>経度方向格子点数</t>
    <rPh sb="0" eb="6">
      <t>ケイドホウコウコウシ</t>
    </rPh>
    <rPh sb="6" eb="8">
      <t>テンスウ</t>
    </rPh>
    <phoneticPr fontId="1"/>
  </si>
  <si>
    <t>ip8_num1</t>
    <phoneticPr fontId="1"/>
  </si>
  <si>
    <t>1日当たり，73日計算 (12/17現在 360日)</t>
    <rPh sb="1" eb="2">
      <t>ニチ</t>
    </rPh>
    <rPh sb="2" eb="3">
      <t>ア</t>
    </rPh>
    <rPh sb="8" eb="9">
      <t>ニチ</t>
    </rPh>
    <rPh sb="9" eb="11">
      <t>ケイサン</t>
    </rPh>
    <rPh sb="18" eb="20">
      <t>ゲンザイ</t>
    </rPh>
    <rPh sb="24" eb="25">
      <t>ニチ</t>
    </rPh>
    <phoneticPr fontId="1"/>
  </si>
  <si>
    <t>3059日</t>
    <rPh sb="4" eb="5">
      <t>ニチ</t>
    </rPh>
    <phoneticPr fontId="1"/>
  </si>
  <si>
    <t>赤道風</t>
    <rPh sb="0" eb="2">
      <t>セキドウ</t>
    </rPh>
    <rPh sb="2" eb="3">
      <t>フウ</t>
    </rPh>
    <phoneticPr fontId="1"/>
  </si>
  <si>
    <t>東風</t>
    <rPh sb="0" eb="2">
      <t>ヒガシカゼ</t>
    </rPh>
    <phoneticPr fontId="1"/>
  </si>
  <si>
    <t>1214日まで計算したが，CFLぽい</t>
    <rPh sb="4" eb="5">
      <t>ニチ</t>
    </rPh>
    <rPh sb="7" eb="9">
      <t>ケイサン</t>
    </rPh>
    <phoneticPr fontId="1"/>
  </si>
  <si>
    <t>a3_6</t>
    <phoneticPr fontId="1"/>
  </si>
  <si>
    <t>1218日まで計算した</t>
    <rPh sb="4" eb="5">
      <t>ニチ</t>
    </rPh>
    <rPh sb="7" eb="9">
      <t>ケイサン</t>
    </rPh>
    <phoneticPr fontId="1"/>
  </si>
  <si>
    <t>C2</t>
    <phoneticPr fontId="1"/>
  </si>
  <si>
    <t>c2</t>
    <phoneticPr fontId="1"/>
  </si>
  <si>
    <t>-0.333</t>
    <phoneticPr fontId="1"/>
  </si>
  <si>
    <t>C3</t>
    <phoneticPr fontId="1"/>
  </si>
  <si>
    <t>c3</t>
    <phoneticPr fontId="1"/>
  </si>
  <si>
    <t>3488日</t>
    <rPh sb="4" eb="5">
      <t>ニチ</t>
    </rPh>
    <phoneticPr fontId="1"/>
  </si>
  <si>
    <t>105日</t>
    <rPh sb="3" eb="4">
      <t>ニチ</t>
    </rPh>
    <phoneticPr fontId="1"/>
  </si>
  <si>
    <t>1772日</t>
    <rPh sb="4" eb="5">
      <t>ニチ</t>
    </rPh>
    <phoneticPr fontId="1"/>
  </si>
  <si>
    <t>1766日</t>
    <rPh sb="4" eb="5">
      <t>ニチ</t>
    </rPh>
    <phoneticPr fontId="1"/>
  </si>
  <si>
    <t>1643日</t>
    <rPh sb="4" eb="5">
      <t>ニチ</t>
    </rPh>
    <phoneticPr fontId="1"/>
  </si>
  <si>
    <t>1615日</t>
    <rPh sb="4" eb="5">
      <t>ニチ</t>
    </rPh>
    <phoneticPr fontId="1"/>
  </si>
  <si>
    <t>1469日</t>
    <rPh sb="4" eb="5">
      <t>ニチ</t>
    </rPh>
    <phoneticPr fontId="1"/>
  </si>
  <si>
    <t>1293日</t>
    <rPh sb="4" eb="5">
      <t>ニチ</t>
    </rPh>
    <phoneticPr fontId="1"/>
  </si>
  <si>
    <t>405日</t>
    <rPh sb="3" eb="4">
      <t>ニチ</t>
    </rPh>
    <phoneticPr fontId="1"/>
  </si>
  <si>
    <t>423日</t>
    <rPh sb="3" eb="4">
      <t>ニチ</t>
    </rPh>
    <phoneticPr fontId="1"/>
  </si>
  <si>
    <t>超粘性散逸の時間スケール</t>
    <rPh sb="0" eb="3">
      <t>チョウネンセイ</t>
    </rPh>
    <rPh sb="3" eb="5">
      <t>サンイツ</t>
    </rPh>
    <rPh sb="6" eb="8">
      <t>ジカン</t>
    </rPh>
    <phoneticPr fontId="1"/>
  </si>
  <si>
    <t>a1_4</t>
    <phoneticPr fontId="1"/>
  </si>
  <si>
    <t>経度方向(85°)
格子点間隔</t>
    <rPh sb="0" eb="2">
      <t>ケイド</t>
    </rPh>
    <rPh sb="2" eb="4">
      <t>ホウコウ</t>
    </rPh>
    <rPh sb="10" eb="12">
      <t>コウシ</t>
    </rPh>
    <rPh sb="12" eb="13">
      <t>テン</t>
    </rPh>
    <rPh sb="13" eb="15">
      <t>カンカク</t>
    </rPh>
    <phoneticPr fontId="1"/>
  </si>
  <si>
    <t>緯度方向(85°)
格子点間隔</t>
    <rPh sb="0" eb="2">
      <t>イド</t>
    </rPh>
    <rPh sb="2" eb="4">
      <t>ホウコウ</t>
    </rPh>
    <rPh sb="10" eb="12">
      <t>コウシ</t>
    </rPh>
    <rPh sb="12" eb="13">
      <t>テン</t>
    </rPh>
    <rPh sb="13" eb="15">
      <t>カンカク</t>
    </rPh>
    <phoneticPr fontId="1"/>
  </si>
  <si>
    <t>876日</t>
    <rPh sb="3" eb="4">
      <t>ニチ</t>
    </rPh>
    <phoneticPr fontId="1"/>
  </si>
  <si>
    <t>a3_7</t>
    <phoneticPr fontId="1"/>
  </si>
  <si>
    <t>a4_2</t>
    <phoneticPr fontId="1"/>
  </si>
  <si>
    <t>a5_2</t>
    <phoneticPr fontId="1"/>
  </si>
  <si>
    <t>c2_2</t>
    <phoneticPr fontId="1"/>
  </si>
  <si>
    <t>×343日</t>
    <phoneticPr fontId="1"/>
  </si>
  <si>
    <t>50日目くらいから赤道域で波</t>
    <rPh sb="2" eb="3">
      <t>ニチ</t>
    </rPh>
    <rPh sb="3" eb="4">
      <t>メ</t>
    </rPh>
    <rPh sb="9" eb="11">
      <t>セキドウ</t>
    </rPh>
    <rPh sb="11" eb="12">
      <t>イキ</t>
    </rPh>
    <rPh sb="13" eb="14">
      <t>ナミ</t>
    </rPh>
    <phoneticPr fontId="1"/>
  </si>
  <si>
    <t>×378日</t>
    <rPh sb="4" eb="5">
      <t>ニチ</t>
    </rPh>
    <phoneticPr fontId="1"/>
  </si>
  <si>
    <t>30日目くらいから赤道域で波</t>
    <rPh sb="2" eb="3">
      <t>ニチ</t>
    </rPh>
    <rPh sb="3" eb="4">
      <t>メ</t>
    </rPh>
    <rPh sb="9" eb="11">
      <t>セキドウ</t>
    </rPh>
    <rPh sb="11" eb="12">
      <t>イキ</t>
    </rPh>
    <rPh sb="13" eb="14">
      <t>ナミ</t>
    </rPh>
    <phoneticPr fontId="1"/>
  </si>
  <si>
    <t>×377日</t>
    <rPh sb="4" eb="5">
      <t>ニチ</t>
    </rPh>
    <phoneticPr fontId="1"/>
  </si>
  <si>
    <t>170日目くらいから赤道域で波</t>
    <rPh sb="3" eb="4">
      <t>ニチ</t>
    </rPh>
    <rPh sb="4" eb="5">
      <t>メ</t>
    </rPh>
    <rPh sb="10" eb="12">
      <t>セキドウ</t>
    </rPh>
    <rPh sb="12" eb="13">
      <t>イキ</t>
    </rPh>
    <rPh sb="14" eb="15">
      <t>ナミ</t>
    </rPh>
    <phoneticPr fontId="1"/>
  </si>
  <si>
    <t>55日</t>
    <rPh sb="2" eb="3">
      <t>ニチ</t>
    </rPh>
    <phoneticPr fontId="1"/>
  </si>
  <si>
    <t>a1_5</t>
    <phoneticPr fontId="1"/>
  </si>
  <si>
    <t xml:space="preserve">B19 は </t>
    <phoneticPr fontId="1"/>
  </si>
  <si>
    <t>超粘性散逸の時間</t>
    <rPh sb="0" eb="5">
      <t>チョウネンセイサンイツ</t>
    </rPh>
    <rPh sb="6" eb="8">
      <t>ジカン</t>
    </rPh>
    <phoneticPr fontId="1"/>
  </si>
  <si>
    <t>a2_15</t>
    <phoneticPr fontId="1"/>
  </si>
  <si>
    <t>465日 波はみられない</t>
    <rPh sb="3" eb="4">
      <t>ニチ</t>
    </rPh>
    <rPh sb="5" eb="6">
      <t>ナミ</t>
    </rPh>
    <phoneticPr fontId="1"/>
  </si>
  <si>
    <t>426日 波はみられない</t>
    <rPh sb="3" eb="4">
      <t>ニチ</t>
    </rPh>
    <rPh sb="5" eb="6">
      <t>ナミ</t>
    </rPh>
    <phoneticPr fontId="1"/>
  </si>
  <si>
    <t>a3_8</t>
    <phoneticPr fontId="1"/>
  </si>
  <si>
    <t>a4_3</t>
    <phoneticPr fontId="1"/>
  </si>
  <si>
    <t>a5_3</t>
    <phoneticPr fontId="1"/>
  </si>
  <si>
    <t>c2_3</t>
    <phoneticPr fontId="1"/>
  </si>
  <si>
    <t>×67日</t>
    <rPh sb="3" eb="4">
      <t>ニチ</t>
    </rPh>
    <phoneticPr fontId="1"/>
  </si>
  <si>
    <t>a1_6</t>
    <phoneticPr fontId="1"/>
  </si>
  <si>
    <t>×25日</t>
    <rPh sb="3" eb="4">
      <t>ニチ</t>
    </rPh>
    <phoneticPr fontId="1"/>
  </si>
  <si>
    <t>×97日</t>
    <rPh sb="3" eb="4">
      <t>ニチ</t>
    </rPh>
    <phoneticPr fontId="1"/>
  </si>
  <si>
    <t>×116日</t>
    <rPh sb="4" eb="5">
      <t>ニチ</t>
    </rPh>
    <phoneticPr fontId="1"/>
  </si>
  <si>
    <t>104日高波数側で0ではないが，たまってはない</t>
    <rPh sb="3" eb="4">
      <t>ニチ</t>
    </rPh>
    <rPh sb="4" eb="5">
      <t>コウ</t>
    </rPh>
    <rPh sb="5" eb="7">
      <t>ハスウ</t>
    </rPh>
    <rPh sb="7" eb="8">
      <t>ガワ</t>
    </rPh>
    <phoneticPr fontId="1"/>
  </si>
  <si>
    <t>×107日</t>
    <rPh sb="4" eb="5">
      <t>ニチ</t>
    </rPh>
    <phoneticPr fontId="1"/>
  </si>
  <si>
    <t>a2_16</t>
    <phoneticPr fontId="1"/>
  </si>
  <si>
    <t>a2_17</t>
    <phoneticPr fontId="1"/>
  </si>
  <si>
    <t>a3_9</t>
    <phoneticPr fontId="1"/>
  </si>
  <si>
    <t>a3_10</t>
    <phoneticPr fontId="1"/>
  </si>
  <si>
    <t>a3_11</t>
    <phoneticPr fontId="1"/>
  </si>
  <si>
    <t>×59日</t>
    <rPh sb="3" eb="4">
      <t>ニチ</t>
    </rPh>
    <phoneticPr fontId="1"/>
  </si>
  <si>
    <t>×59日</t>
    <rPh sb="3" eb="4">
      <t>ニチ</t>
    </rPh>
    <phoneticPr fontId="1"/>
  </si>
  <si>
    <t>a2_18</t>
    <phoneticPr fontId="1"/>
  </si>
  <si>
    <t>a2_19</t>
    <phoneticPr fontId="1"/>
  </si>
  <si>
    <t>×75日</t>
    <rPh sb="3" eb="4">
      <t>ニチ</t>
    </rPh>
    <phoneticPr fontId="1"/>
  </si>
  <si>
    <t>a3_12</t>
    <phoneticPr fontId="1"/>
  </si>
  <si>
    <t>a3_13</t>
    <phoneticPr fontId="1"/>
  </si>
  <si>
    <t>a3_14</t>
    <phoneticPr fontId="1"/>
  </si>
  <si>
    <t>散逸ききすぎ232日</t>
    <rPh sb="0" eb="2">
      <t>サンイツ</t>
    </rPh>
    <rPh sb="9" eb="10">
      <t>ニチ</t>
    </rPh>
    <phoneticPr fontId="1"/>
  </si>
  <si>
    <t>run</t>
    <phoneticPr fontId="1"/>
  </si>
  <si>
    <t>c2_4</t>
    <phoneticPr fontId="1"/>
  </si>
  <si>
    <t>a2_20</t>
    <phoneticPr fontId="1"/>
  </si>
  <si>
    <t>×68日</t>
    <rPh sb="3" eb="4">
      <t>ニチ</t>
    </rPh>
    <phoneticPr fontId="1"/>
  </si>
  <si>
    <t>a1_7</t>
    <phoneticPr fontId="1"/>
  </si>
  <si>
    <t>dy</t>
    <phoneticPr fontId="1"/>
  </si>
  <si>
    <t>64日</t>
    <rPh sb="2" eb="3">
      <t>ニチ</t>
    </rPh>
    <phoneticPr fontId="1"/>
  </si>
  <si>
    <t>360日</t>
    <rPh sb="3" eb="4">
      <t>ニチ</t>
    </rPh>
    <phoneticPr fontId="1"/>
  </si>
  <si>
    <t>a4_4</t>
    <phoneticPr fontId="1"/>
  </si>
  <si>
    <t>a5_4</t>
    <phoneticPr fontId="1"/>
  </si>
  <si>
    <t>overflow643日</t>
    <rPh sb="11" eb="12">
      <t>ニチ</t>
    </rPh>
    <phoneticPr fontId="1"/>
  </si>
  <si>
    <t>d1a_4</t>
    <phoneticPr fontId="1"/>
  </si>
  <si>
    <t>d1b_2</t>
    <phoneticPr fontId="1"/>
  </si>
  <si>
    <t>d1bm</t>
    <phoneticPr fontId="1"/>
  </si>
  <si>
    <t>3082日</t>
    <rPh sb="4" eb="5">
      <t>ニチ</t>
    </rPh>
    <phoneticPr fontId="1"/>
  </si>
  <si>
    <t>3094日</t>
    <rPh sb="4" eb="5">
      <t>ニチ</t>
    </rPh>
    <phoneticPr fontId="1"/>
  </si>
  <si>
    <t>d1c</t>
    <phoneticPr fontId="1"/>
  </si>
  <si>
    <t>run</t>
    <phoneticPr fontId="1"/>
  </si>
  <si>
    <t>tau_ape*Ld^2</t>
    <phoneticPr fontId="1"/>
  </si>
  <si>
    <t>d1d</t>
    <phoneticPr fontId="1"/>
  </si>
  <si>
    <t>d1e</t>
    <phoneticPr fontId="1"/>
  </si>
  <si>
    <t>3018日</t>
    <rPh sb="4" eb="5">
      <t>ニチ</t>
    </rPh>
    <phoneticPr fontId="1"/>
  </si>
  <si>
    <t>ミス Tau_ape = 10^3</t>
    <phoneticPr fontId="1"/>
  </si>
  <si>
    <t>True Tau_ape = 10^8</t>
    <phoneticPr fontId="1"/>
  </si>
  <si>
    <t>d1a_true</t>
    <phoneticPr fontId="1"/>
  </si>
  <si>
    <t>run</t>
    <phoneticPr fontId="1"/>
  </si>
  <si>
    <t>3002日</t>
    <rPh sb="4" eb="5">
      <t>ニチ</t>
    </rPh>
    <phoneticPr fontId="1"/>
  </si>
  <si>
    <t>3029日</t>
    <rPh sb="4" eb="5">
      <t>ニチ</t>
    </rPh>
    <phoneticPr fontId="1"/>
  </si>
  <si>
    <t>3023日</t>
    <rPh sb="4" eb="5">
      <t>ニチ</t>
    </rPh>
    <phoneticPr fontId="1"/>
  </si>
  <si>
    <t>d1f</t>
    <phoneticPr fontId="1"/>
  </si>
  <si>
    <t>3014日</t>
    <rPh sb="4" eb="5">
      <t>ニチ</t>
    </rPh>
    <phoneticPr fontId="1"/>
  </si>
  <si>
    <t>3010日</t>
    <rPh sb="4" eb="5">
      <t>ニチ</t>
    </rPh>
    <phoneticPr fontId="1"/>
  </si>
  <si>
    <t>S</t>
    <phoneticPr fontId="1"/>
  </si>
  <si>
    <t>d1g</t>
    <phoneticPr fontId="1"/>
  </si>
  <si>
    <t>c2_05</t>
    <phoneticPr fontId="1"/>
  </si>
  <si>
    <t>0.333</t>
    <phoneticPr fontId="1"/>
  </si>
  <si>
    <t>a6</t>
    <phoneticPr fontId="1"/>
  </si>
  <si>
    <t>J</t>
    <phoneticPr fontId="1"/>
  </si>
  <si>
    <t>I</t>
    <phoneticPr fontId="1"/>
  </si>
  <si>
    <t>・考察</t>
    <rPh sb="1" eb="3">
      <t>コウサツ</t>
    </rPh>
    <phoneticPr fontId="1"/>
  </si>
  <si>
    <t>1. Burger 数の変化</t>
    <rPh sb="10" eb="11">
      <t>スウ</t>
    </rPh>
    <rPh sb="12" eb="14">
      <t>ヘンカ</t>
    </rPh>
    <phoneticPr fontId="1"/>
  </si>
  <si>
    <t>1.1 Tau_ape なし</t>
    <phoneticPr fontId="1"/>
  </si>
  <si>
    <t>1.2 Tau_ape = 1E+7</t>
    <phoneticPr fontId="1"/>
  </si>
  <si>
    <t>2. Tau_ape の変化</t>
    <rPh sb="12" eb="14">
      <t>ヘンカ</t>
    </rPh>
    <phoneticPr fontId="1"/>
  </si>
  <si>
    <t>3. ストームの符号の変化</t>
    <rPh sb="8" eb="10">
      <t>フゴウ</t>
    </rPh>
    <rPh sb="11" eb="13">
      <t>ヘンカ</t>
    </rPh>
    <phoneticPr fontId="1"/>
  </si>
  <si>
    <t>3.1 Tau_ape なし</t>
    <phoneticPr fontId="1"/>
  </si>
  <si>
    <t>3.2 Tau_ape = 1E+7</t>
    <phoneticPr fontId="1"/>
  </si>
  <si>
    <t>4. 解像度(ストームの半径)による変化</t>
    <rPh sb="3" eb="6">
      <t>カイゾウド</t>
    </rPh>
    <rPh sb="12" eb="14">
      <t>ハンケイ</t>
    </rPh>
    <rPh sb="18" eb="20">
      <t>ヘンカ</t>
    </rPh>
    <phoneticPr fontId="1"/>
  </si>
  <si>
    <t>d1T</t>
    <phoneticPr fontId="1"/>
  </si>
  <si>
    <t>描画</t>
    <rPh sb="0" eb="2">
      <t>ビョウガ</t>
    </rPh>
    <phoneticPr fontId="1"/>
  </si>
  <si>
    <t>ok</t>
    <phoneticPr fontId="1"/>
  </si>
  <si>
    <t>critical lat</t>
    <phoneticPr fontId="1"/>
  </si>
  <si>
    <t>U</t>
    <phoneticPr fontId="1"/>
  </si>
  <si>
    <t>phi  minus</t>
    <phoneticPr fontId="1"/>
  </si>
  <si>
    <t>L_d at midlat</t>
    <phoneticPr fontId="1"/>
  </si>
  <si>
    <t>d1i</t>
    <phoneticPr fontId="1"/>
  </si>
  <si>
    <t>ok</t>
    <phoneticPr fontId="1"/>
  </si>
  <si>
    <t>ok</t>
    <phoneticPr fontId="1"/>
  </si>
  <si>
    <t>a7</t>
    <phoneticPr fontId="1"/>
  </si>
  <si>
    <t>ok</t>
    <phoneticPr fontId="1"/>
  </si>
  <si>
    <t>ok</t>
    <phoneticPr fontId="1"/>
  </si>
  <si>
    <t>〇</t>
    <phoneticPr fontId="1"/>
  </si>
  <si>
    <t>gh &lt; 0
 north value</t>
    <phoneticPr fontId="1"/>
  </si>
  <si>
    <t>×</t>
    <phoneticPr fontId="1"/>
  </si>
  <si>
    <t>ok</t>
    <phoneticPr fontId="1"/>
  </si>
  <si>
    <t>f1</t>
    <phoneticPr fontId="1"/>
  </si>
  <si>
    <t>f2</t>
    <phoneticPr fontId="1"/>
  </si>
  <si>
    <t>f3</t>
    <phoneticPr fontId="1"/>
  </si>
  <si>
    <t>f4</t>
    <phoneticPr fontId="1"/>
  </si>
  <si>
    <t>A1</t>
    <phoneticPr fontId="1"/>
  </si>
  <si>
    <t>A2</t>
    <phoneticPr fontId="1"/>
  </si>
  <si>
    <t>A3</t>
    <phoneticPr fontId="1"/>
  </si>
  <si>
    <t>B1</t>
    <phoneticPr fontId="1"/>
  </si>
  <si>
    <t>B2</t>
    <phoneticPr fontId="1"/>
  </si>
  <si>
    <t>B3</t>
    <phoneticPr fontId="1"/>
  </si>
  <si>
    <t>B4</t>
    <phoneticPr fontId="1"/>
  </si>
  <si>
    <t>C1</t>
    <phoneticPr fontId="1"/>
  </si>
  <si>
    <t>C2</t>
    <phoneticPr fontId="1"/>
  </si>
  <si>
    <t>C3</t>
    <phoneticPr fontId="1"/>
  </si>
  <si>
    <t>C4</t>
    <phoneticPr fontId="1"/>
  </si>
  <si>
    <t>C5</t>
    <phoneticPr fontId="1"/>
  </si>
  <si>
    <t>D1</t>
    <phoneticPr fontId="1"/>
  </si>
  <si>
    <t>D2</t>
    <phoneticPr fontId="1"/>
  </si>
  <si>
    <t>E1</t>
    <phoneticPr fontId="1"/>
  </si>
  <si>
    <t>F1</t>
    <phoneticPr fontId="1"/>
  </si>
  <si>
    <t>ケース</t>
    <phoneticPr fontId="1"/>
  </si>
  <si>
    <t>ラベル</t>
    <phoneticPr fontId="1"/>
  </si>
  <si>
    <t>切断波数</t>
    <rPh sb="0" eb="4">
      <t>セツダンハスウ</t>
    </rPh>
    <phoneticPr fontId="1"/>
  </si>
  <si>
    <t>経度格子点</t>
    <rPh sb="0" eb="5">
      <t>ケイドコウシテン</t>
    </rPh>
    <phoneticPr fontId="1"/>
  </si>
  <si>
    <t>緯度格子点</t>
    <rPh sb="0" eb="5">
      <t>イドコウシテン</t>
    </rPh>
    <phoneticPr fontId="1"/>
  </si>
  <si>
    <t>経度方向
格子点間隔</t>
    <phoneticPr fontId="1"/>
  </si>
  <si>
    <t>緯度方向
格子点間隔</t>
    <rPh sb="0" eb="2">
      <t>イド</t>
    </rPh>
    <phoneticPr fontId="1"/>
  </si>
  <si>
    <t>惑星半径</t>
    <rPh sb="0" eb="4">
      <t>ワクセイハンケイ</t>
    </rPh>
    <phoneticPr fontId="1"/>
  </si>
  <si>
    <t>経度方向(85°)
格子点間隔</t>
    <phoneticPr fontId="1"/>
  </si>
  <si>
    <t>自転角速度</t>
    <rPh sb="0" eb="5">
      <t>ジテンカクソクド</t>
    </rPh>
    <phoneticPr fontId="1"/>
  </si>
  <si>
    <t>s</t>
    <phoneticPr fontId="1"/>
  </si>
  <si>
    <t>alpha</t>
    <phoneticPr fontId="1"/>
  </si>
  <si>
    <t>r_storm</t>
    <phoneticPr fontId="1"/>
  </si>
  <si>
    <t>tau_int</t>
    <phoneticPr fontId="1"/>
  </si>
  <si>
    <t>tau_storm</t>
    <phoneticPr fontId="1"/>
  </si>
  <si>
    <t>tau_ape</t>
    <phoneticPr fontId="1"/>
  </si>
  <si>
    <t>tau_mass</t>
    <phoneticPr fontId="1"/>
  </si>
  <si>
    <t>gh_eq</t>
    <phoneticPr fontId="1"/>
  </si>
  <si>
    <t>dt</t>
    <phoneticPr fontId="1"/>
  </si>
  <si>
    <t>超粘性次数</t>
    <rPh sb="0" eb="5">
      <t>チョウネンセイジスウ</t>
    </rPh>
    <phoneticPr fontId="1"/>
  </si>
  <si>
    <t>粘性係数</t>
    <rPh sb="0" eb="4">
      <t>ネンセイケイスウ</t>
    </rPh>
    <phoneticPr fontId="1"/>
  </si>
  <si>
    <t>ストーム数</t>
    <rPh sb="4" eb="5">
      <t>スウ</t>
    </rPh>
    <phoneticPr fontId="1"/>
  </si>
  <si>
    <t>分布</t>
    <rPh sb="0" eb="2">
      <t>ブンプ</t>
    </rPh>
    <phoneticPr fontId="1"/>
  </si>
  <si>
    <t>Ld0</t>
    <phoneticPr fontId="1"/>
  </si>
  <si>
    <t>Bu</t>
    <phoneticPr fontId="1"/>
  </si>
  <si>
    <t>regime</t>
    <phoneticPr fontId="1"/>
  </si>
  <si>
    <t>mean_Eape (s07 eq26)</t>
    <phoneticPr fontId="1"/>
  </si>
  <si>
    <t>1.3 Tau_ape なし</t>
    <phoneticPr fontId="1"/>
  </si>
  <si>
    <t>ok</t>
    <phoneticPr fontId="1"/>
  </si>
  <si>
    <t>A6</t>
    <phoneticPr fontId="1"/>
  </si>
  <si>
    <t>B1</t>
    <phoneticPr fontId="1"/>
  </si>
  <si>
    <t>B2</t>
    <phoneticPr fontId="1"/>
  </si>
  <si>
    <t>B3</t>
    <phoneticPr fontId="1"/>
  </si>
  <si>
    <t>B4</t>
    <phoneticPr fontId="1"/>
  </si>
  <si>
    <t>赤道 U</t>
    <rPh sb="0" eb="2">
      <t>セキドウ</t>
    </rPh>
    <phoneticPr fontId="1"/>
  </si>
  <si>
    <t>(Fr)^2</t>
    <phoneticPr fontId="1"/>
  </si>
  <si>
    <t>e1</t>
    <phoneticPr fontId="1"/>
  </si>
  <si>
    <t>修論ラベル</t>
    <rPh sb="0" eb="2">
      <t>シュウロン</t>
    </rPh>
    <phoneticPr fontId="1"/>
  </si>
  <si>
    <t>実験ラベル</t>
    <rPh sb="0" eb="2">
      <t>ジッケン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</si>
</sst>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);[Red]\(0.0\)"/>
    <numFmt numFmtId="177" formatCode="0.000_);[Red]\(0.000\)"/>
    <numFmt numFmtId="178" formatCode="0_);[Red]\(0\)"/>
    <numFmt numFmtId="179" formatCode="0.00.E+00"/>
    <numFmt numFmtId="180" formatCode="0.000E+00"/>
    <numFmt numFmtId="181" formatCode="0.0000.E+00"/>
    <numFmt numFmtId="182" formatCode="0.0000000_);[Red]\(0.0000000\)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Yu Gothic"/>
      <family val="2"/>
      <scheme val="minor"/>
    </font>
    <font>
      <sz val="6"/>
      <name val="Yu Gothic"/>
      <family val="2"/>
      <charset val="128"/>
      <scheme val="minor"/>
    </font>
    <font>
      <sz val="11"/>
      <color rgb="FFFF0000"/>
      <name val="Yu Gothic"/>
      <family val="2"/>
      <scheme val="minor"/>
    </font>
    <font>
      <sz val="11"/>
      <color rgb="FFC00000"/>
      <name val="Yu Gothic"/>
      <family val="2"/>
      <scheme val="minor"/>
    </font>
    <font>
      <b/>
      <sz val="18"/>
      <color theme="1"/>
      <name val="Yu Gothic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77" fontId="0" fillId="0" borderId="0" xfId="0" applyNumberFormat="1" applyAlignment="1">
      <alignment horizontal="center"/>
    </xf>
    <xf numFmtId="11" fontId="0" fillId="0" borderId="0" xfId="0" applyNumberFormat="1" applyBorder="1" applyAlignment="1">
      <alignment horizontal="center"/>
    </xf>
    <xf numFmtId="177" fontId="0" fillId="0" borderId="0" xfId="0" applyNumberFormat="1" applyBorder="1" applyAlignment="1">
      <alignment horizontal="center"/>
    </xf>
    <xf numFmtId="176" fontId="0" fillId="0" borderId="0" xfId="0" applyNumberFormat="1" applyBorder="1" applyAlignment="1">
      <alignment horizontal="center"/>
    </xf>
    <xf numFmtId="11" fontId="0" fillId="0" borderId="1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1" fontId="0" fillId="0" borderId="5" xfId="0" applyNumberFormat="1" applyBorder="1" applyAlignment="1">
      <alignment horizontal="center"/>
    </xf>
    <xf numFmtId="177" fontId="0" fillId="0" borderId="5" xfId="0" applyNumberFormat="1" applyBorder="1" applyAlignment="1">
      <alignment horizontal="center"/>
    </xf>
    <xf numFmtId="176" fontId="0" fillId="0" borderId="5" xfId="0" applyNumberForma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78" fontId="0" fillId="0" borderId="0" xfId="0" applyNumberFormat="1" applyAlignment="1">
      <alignment horizontal="center"/>
    </xf>
    <xf numFmtId="178" fontId="0" fillId="0" borderId="1" xfId="0" applyNumberFormat="1" applyBorder="1" applyAlignment="1">
      <alignment horizontal="center"/>
    </xf>
    <xf numFmtId="178" fontId="0" fillId="0" borderId="0" xfId="0" applyNumberFormat="1" applyBorder="1" applyAlignment="1">
      <alignment horizontal="center"/>
    </xf>
    <xf numFmtId="178" fontId="0" fillId="0" borderId="5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178" fontId="0" fillId="3" borderId="0" xfId="0" applyNumberFormat="1" applyFill="1" applyBorder="1" applyAlignment="1">
      <alignment horizontal="center"/>
    </xf>
    <xf numFmtId="49" fontId="0" fillId="3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11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1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78" fontId="0" fillId="3" borderId="1" xfId="0" applyNumberFormat="1" applyFill="1" applyBorder="1" applyAlignment="1">
      <alignment horizontal="center"/>
    </xf>
    <xf numFmtId="11" fontId="0" fillId="3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179" fontId="0" fillId="0" borderId="0" xfId="0" applyNumberFormat="1" applyAlignment="1">
      <alignment horizontal="center"/>
    </xf>
    <xf numFmtId="179" fontId="0" fillId="0" borderId="1" xfId="0" applyNumberFormat="1" applyBorder="1" applyAlignment="1">
      <alignment horizontal="center"/>
    </xf>
    <xf numFmtId="17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1" fontId="0" fillId="0" borderId="0" xfId="0" applyNumberFormat="1" applyFill="1" applyBorder="1" applyAlignment="1">
      <alignment horizontal="center"/>
    </xf>
    <xf numFmtId="177" fontId="0" fillId="0" borderId="0" xfId="0" applyNumberFormat="1" applyFill="1" applyBorder="1" applyAlignment="1">
      <alignment horizontal="center"/>
    </xf>
    <xf numFmtId="176" fontId="0" fillId="0" borderId="0" xfId="0" applyNumberFormat="1" applyFill="1" applyBorder="1" applyAlignment="1">
      <alignment horizontal="center"/>
    </xf>
    <xf numFmtId="178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179" fontId="0" fillId="0" borderId="0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1" fontId="0" fillId="0" borderId="1" xfId="0" applyNumberForma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176" fontId="0" fillId="0" borderId="1" xfId="0" applyNumberFormat="1" applyFill="1" applyBorder="1" applyAlignment="1">
      <alignment horizontal="center"/>
    </xf>
    <xf numFmtId="178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179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1" fontId="0" fillId="3" borderId="5" xfId="0" applyNumberFormat="1" applyFill="1" applyBorder="1" applyAlignment="1">
      <alignment horizontal="center"/>
    </xf>
    <xf numFmtId="179" fontId="0" fillId="0" borderId="5" xfId="0" applyNumberFormat="1" applyBorder="1" applyAlignment="1">
      <alignment horizontal="center"/>
    </xf>
    <xf numFmtId="1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17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1" fontId="0" fillId="4" borderId="0" xfId="0" applyNumberFormat="1" applyFill="1" applyBorder="1" applyAlignment="1">
      <alignment horizontal="center"/>
    </xf>
    <xf numFmtId="177" fontId="0" fillId="4" borderId="0" xfId="0" applyNumberFormat="1" applyFill="1" applyBorder="1" applyAlignment="1">
      <alignment horizontal="center"/>
    </xf>
    <xf numFmtId="176" fontId="0" fillId="4" borderId="0" xfId="0" applyNumberForma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178" fontId="0" fillId="4" borderId="0" xfId="0" applyNumberFormat="1" applyFill="1" applyBorder="1" applyAlignment="1">
      <alignment horizontal="center"/>
    </xf>
    <xf numFmtId="49" fontId="0" fillId="4" borderId="0" xfId="0" applyNumberFormat="1" applyFill="1" applyBorder="1" applyAlignment="1">
      <alignment horizontal="center"/>
    </xf>
    <xf numFmtId="179" fontId="0" fillId="4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1" fontId="0" fillId="4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77" fontId="0" fillId="4" borderId="1" xfId="0" applyNumberFormat="1" applyFill="1" applyBorder="1" applyAlignment="1">
      <alignment horizontal="center"/>
    </xf>
    <xf numFmtId="176" fontId="0" fillId="4" borderId="1" xfId="0" applyNumberFormat="1" applyFill="1" applyBorder="1" applyAlignment="1">
      <alignment horizontal="center"/>
    </xf>
    <xf numFmtId="178" fontId="0" fillId="4" borderId="1" xfId="0" applyNumberFormat="1" applyFill="1" applyBorder="1" applyAlignment="1">
      <alignment horizontal="center"/>
    </xf>
    <xf numFmtId="179" fontId="0" fillId="4" borderId="1" xfId="0" applyNumberForma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1" fontId="0" fillId="5" borderId="5" xfId="0" applyNumberFormat="1" applyFill="1" applyBorder="1" applyAlignment="1">
      <alignment horizontal="center"/>
    </xf>
    <xf numFmtId="11" fontId="0" fillId="5" borderId="0" xfId="0" applyNumberFormat="1" applyFill="1" applyBorder="1" applyAlignment="1">
      <alignment horizontal="center"/>
    </xf>
    <xf numFmtId="177" fontId="0" fillId="5" borderId="5" xfId="0" applyNumberFormat="1" applyFill="1" applyBorder="1" applyAlignment="1">
      <alignment horizontal="center"/>
    </xf>
    <xf numFmtId="176" fontId="0" fillId="5" borderId="5" xfId="0" applyNumberFormat="1" applyFill="1" applyBorder="1" applyAlignment="1">
      <alignment horizontal="center"/>
    </xf>
    <xf numFmtId="178" fontId="0" fillId="5" borderId="5" xfId="0" applyNumberFormat="1" applyFill="1" applyBorder="1" applyAlignment="1">
      <alignment horizontal="center"/>
    </xf>
    <xf numFmtId="49" fontId="0" fillId="5" borderId="5" xfId="0" applyNumberFormat="1" applyFill="1" applyBorder="1" applyAlignment="1">
      <alignment horizontal="center"/>
    </xf>
    <xf numFmtId="179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77" fontId="0" fillId="5" borderId="0" xfId="0" applyNumberFormat="1" applyFill="1" applyBorder="1" applyAlignment="1">
      <alignment horizontal="center"/>
    </xf>
    <xf numFmtId="176" fontId="0" fillId="5" borderId="0" xfId="0" applyNumberFormat="1" applyFill="1" applyBorder="1" applyAlignment="1">
      <alignment horizontal="center"/>
    </xf>
    <xf numFmtId="178" fontId="0" fillId="5" borderId="0" xfId="0" applyNumberFormat="1" applyFill="1" applyBorder="1" applyAlignment="1">
      <alignment horizontal="center"/>
    </xf>
    <xf numFmtId="49" fontId="0" fillId="5" borderId="0" xfId="0" applyNumberFormat="1" applyFill="1" applyBorder="1" applyAlignment="1">
      <alignment horizontal="center"/>
    </xf>
    <xf numFmtId="179" fontId="0" fillId="5" borderId="1" xfId="0" applyNumberForma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1" fontId="0" fillId="6" borderId="5" xfId="0" applyNumberFormat="1" applyFill="1" applyBorder="1" applyAlignment="1">
      <alignment horizontal="center"/>
    </xf>
    <xf numFmtId="11" fontId="0" fillId="6" borderId="0" xfId="0" applyNumberFormat="1" applyFill="1" applyBorder="1" applyAlignment="1">
      <alignment horizontal="center"/>
    </xf>
    <xf numFmtId="177" fontId="0" fillId="6" borderId="5" xfId="0" applyNumberFormat="1" applyFill="1" applyBorder="1" applyAlignment="1">
      <alignment horizontal="center"/>
    </xf>
    <xf numFmtId="176" fontId="0" fillId="6" borderId="5" xfId="0" applyNumberFormat="1" applyFill="1" applyBorder="1" applyAlignment="1">
      <alignment horizontal="center"/>
    </xf>
    <xf numFmtId="178" fontId="0" fillId="6" borderId="5" xfId="0" applyNumberFormat="1" applyFill="1" applyBorder="1" applyAlignment="1">
      <alignment horizontal="center"/>
    </xf>
    <xf numFmtId="49" fontId="0" fillId="6" borderId="5" xfId="0" applyNumberFormat="1" applyFill="1" applyBorder="1" applyAlignment="1">
      <alignment horizontal="center"/>
    </xf>
    <xf numFmtId="179" fontId="0" fillId="6" borderId="0" xfId="0" applyNumberForma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77" fontId="0" fillId="6" borderId="0" xfId="0" applyNumberFormat="1" applyFill="1" applyBorder="1" applyAlignment="1">
      <alignment horizontal="center"/>
    </xf>
    <xf numFmtId="176" fontId="0" fillId="6" borderId="0" xfId="0" applyNumberFormat="1" applyFill="1" applyBorder="1" applyAlignment="1">
      <alignment horizontal="center"/>
    </xf>
    <xf numFmtId="178" fontId="0" fillId="6" borderId="0" xfId="0" applyNumberFormat="1" applyFill="1" applyBorder="1" applyAlignment="1">
      <alignment horizontal="center"/>
    </xf>
    <xf numFmtId="49" fontId="0" fillId="6" borderId="0" xfId="0" applyNumberFormat="1" applyFill="1" applyBorder="1" applyAlignment="1">
      <alignment horizontal="center"/>
    </xf>
    <xf numFmtId="179" fontId="0" fillId="6" borderId="1" xfId="0" applyNumberFormat="1" applyFill="1" applyBorder="1" applyAlignment="1">
      <alignment horizontal="center"/>
    </xf>
    <xf numFmtId="11" fontId="5" fillId="6" borderId="5" xfId="0" applyNumberFormat="1" applyFont="1" applyFill="1" applyBorder="1" applyAlignment="1">
      <alignment horizontal="center"/>
    </xf>
    <xf numFmtId="11" fontId="5" fillId="6" borderId="0" xfId="0" applyNumberFormat="1" applyFont="1" applyFill="1" applyBorder="1" applyAlignment="1">
      <alignment horizontal="center"/>
    </xf>
    <xf numFmtId="0" fontId="0" fillId="6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11" fontId="2" fillId="0" borderId="0" xfId="0" applyNumberFormat="1" applyFont="1" applyFill="1" applyBorder="1" applyAlignment="1">
      <alignment horizontal="center"/>
    </xf>
    <xf numFmtId="11" fontId="4" fillId="0" borderId="0" xfId="0" applyNumberFormat="1" applyFont="1" applyFill="1" applyBorder="1" applyAlignment="1">
      <alignment horizontal="center"/>
    </xf>
    <xf numFmtId="49" fontId="0" fillId="0" borderId="0" xfId="0" quotePrefix="1" applyNumberFormat="1" applyFill="1" applyBorder="1" applyAlignment="1">
      <alignment horizontal="center"/>
    </xf>
    <xf numFmtId="0" fontId="0" fillId="0" borderId="0" xfId="0" applyFill="1" applyBorder="1" applyAlignment="1"/>
    <xf numFmtId="0" fontId="6" fillId="0" borderId="0" xfId="0" applyFont="1" applyFill="1" applyBorder="1" applyAlignment="1">
      <alignment horizontal="center"/>
    </xf>
    <xf numFmtId="179" fontId="0" fillId="7" borderId="0" xfId="0" applyNumberForma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11" fontId="2" fillId="7" borderId="0" xfId="0" applyNumberFormat="1" applyFont="1" applyFill="1" applyBorder="1" applyAlignment="1">
      <alignment horizontal="center"/>
    </xf>
    <xf numFmtId="11" fontId="0" fillId="7" borderId="0" xfId="0" applyNumberFormat="1" applyFill="1" applyBorder="1" applyAlignment="1">
      <alignment horizontal="center"/>
    </xf>
    <xf numFmtId="11" fontId="4" fillId="7" borderId="0" xfId="0" applyNumberFormat="1" applyFont="1" applyFill="1" applyBorder="1" applyAlignment="1">
      <alignment horizontal="center"/>
    </xf>
    <xf numFmtId="177" fontId="0" fillId="7" borderId="0" xfId="0" applyNumberFormat="1" applyFill="1" applyBorder="1" applyAlignment="1">
      <alignment horizontal="center"/>
    </xf>
    <xf numFmtId="49" fontId="0" fillId="7" borderId="0" xfId="0" quotePrefix="1" applyNumberForma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77" fontId="0" fillId="0" borderId="0" xfId="0" applyNumberFormat="1" applyFill="1" applyBorder="1" applyAlignment="1">
      <alignment horizontal="center"/>
    </xf>
    <xf numFmtId="1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1" fontId="0" fillId="0" borderId="0" xfId="0" applyNumberFormat="1" applyFill="1" applyBorder="1" applyAlignment="1">
      <alignment horizontal="center"/>
    </xf>
    <xf numFmtId="177" fontId="0" fillId="0" borderId="0" xfId="0" applyNumberForma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11" fontId="0" fillId="9" borderId="0" xfId="0" applyNumberFormat="1" applyFill="1" applyBorder="1" applyAlignment="1">
      <alignment horizontal="center"/>
    </xf>
    <xf numFmtId="177" fontId="0" fillId="9" borderId="0" xfId="0" applyNumberFormat="1" applyFill="1" applyBorder="1" applyAlignment="1">
      <alignment horizontal="center"/>
    </xf>
    <xf numFmtId="176" fontId="0" fillId="9" borderId="0" xfId="0" applyNumberFormat="1" applyFill="1" applyBorder="1" applyAlignment="1">
      <alignment horizontal="center"/>
    </xf>
    <xf numFmtId="178" fontId="0" fillId="9" borderId="0" xfId="0" applyNumberFormat="1" applyFill="1" applyBorder="1" applyAlignment="1">
      <alignment horizontal="center"/>
    </xf>
    <xf numFmtId="49" fontId="0" fillId="9" borderId="0" xfId="0" applyNumberFormat="1" applyFill="1" applyBorder="1" applyAlignment="1">
      <alignment horizontal="center"/>
    </xf>
    <xf numFmtId="179" fontId="0" fillId="9" borderId="0" xfId="0" applyNumberFormat="1" applyFill="1" applyBorder="1" applyAlignment="1">
      <alignment horizontal="center"/>
    </xf>
    <xf numFmtId="180" fontId="0" fillId="0" borderId="0" xfId="0" applyNumberFormat="1" applyFill="1" applyBorder="1" applyAlignment="1">
      <alignment vertical="center"/>
    </xf>
    <xf numFmtId="180" fontId="0" fillId="0" borderId="0" xfId="0" applyNumberFormat="1" applyFill="1" applyBorder="1" applyAlignment="1">
      <alignment horizontal="center"/>
    </xf>
    <xf numFmtId="180" fontId="0" fillId="9" borderId="0" xfId="0" applyNumberFormat="1" applyFill="1" applyBorder="1" applyAlignment="1">
      <alignment horizontal="center"/>
    </xf>
    <xf numFmtId="181" fontId="0" fillId="0" borderId="0" xfId="0" applyNumberFormat="1" applyFill="1" applyBorder="1" applyAlignment="1">
      <alignment horizontal="center"/>
    </xf>
    <xf numFmtId="181" fontId="0" fillId="9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1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181" fontId="0" fillId="0" borderId="0" xfId="0" applyNumberForma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11" fontId="0" fillId="0" borderId="0" xfId="0" applyNumberFormat="1" applyFill="1" applyBorder="1" applyAlignment="1">
      <alignment horizontal="center"/>
    </xf>
    <xf numFmtId="181" fontId="0" fillId="0" borderId="0" xfId="0" applyNumberFormat="1" applyFill="1" applyBorder="1" applyAlignment="1">
      <alignment horizontal="center"/>
    </xf>
    <xf numFmtId="177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81" fontId="0" fillId="0" borderId="0" xfId="0" applyNumberFormat="1" applyFill="1" applyBorder="1" applyAlignment="1">
      <alignment horizontal="center"/>
    </xf>
    <xf numFmtId="177" fontId="0" fillId="0" borderId="0" xfId="0" applyNumberFormat="1" applyFill="1" applyBorder="1" applyAlignment="1">
      <alignment horizontal="center"/>
    </xf>
    <xf numFmtId="11" fontId="0" fillId="0" borderId="0" xfId="0" applyNumberFormat="1" applyFill="1" applyBorder="1" applyAlignment="1">
      <alignment horizontal="center"/>
    </xf>
    <xf numFmtId="181" fontId="0" fillId="7" borderId="0" xfId="0" applyNumberFormat="1" applyFill="1" applyBorder="1" applyAlignment="1">
      <alignment horizontal="center"/>
    </xf>
    <xf numFmtId="18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1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 wrapText="1"/>
    </xf>
    <xf numFmtId="181" fontId="0" fillId="0" borderId="0" xfId="0" applyNumberFormat="1" applyFill="1" applyBorder="1" applyAlignment="1">
      <alignment horizontal="center" wrapText="1"/>
    </xf>
    <xf numFmtId="181" fontId="0" fillId="0" borderId="0" xfId="0" applyNumberFormat="1" applyFill="1" applyBorder="1" applyAlignment="1">
      <alignment horizontal="center"/>
    </xf>
    <xf numFmtId="177" fontId="0" fillId="0" borderId="0" xfId="0" applyNumberFormat="1" applyFill="1" applyBorder="1" applyAlignment="1">
      <alignment horizontal="center" wrapText="1"/>
    </xf>
    <xf numFmtId="177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77" fontId="0" fillId="0" borderId="0" xfId="0" applyNumberFormat="1" applyBorder="1" applyAlignment="1">
      <alignment horizontal="center" wrapText="1"/>
    </xf>
    <xf numFmtId="177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77" fontId="0" fillId="0" borderId="1" xfId="0" applyNumberForma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874569</xdr:colOff>
      <xdr:row>25</xdr:row>
      <xdr:rowOff>216477</xdr:rowOff>
    </xdr:from>
    <xdr:to>
      <xdr:col>41</xdr:col>
      <xdr:colOff>108773</xdr:colOff>
      <xdr:row>35</xdr:row>
      <xdr:rowOff>377896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2AF686D-0E0E-46B6-9D54-5CB4EF1A7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64194" y="6407727"/>
          <a:ext cx="5806454" cy="2542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FDDC-C7D5-4B98-8369-F6E2111BC89B}">
  <dimension ref="A1:AJ80"/>
  <sheetViews>
    <sheetView tabSelected="1" zoomScale="55" zoomScaleNormal="55" workbookViewId="0">
      <selection activeCell="E1" sqref="E1"/>
    </sheetView>
  </sheetViews>
  <sheetFormatPr defaultRowHeight="18.75"/>
  <cols>
    <col min="1" max="1" width="18.75" style="46" customWidth="1"/>
    <col min="2" max="2" width="10.25" style="152" customWidth="1"/>
    <col min="3" max="3" width="10.25" style="175" customWidth="1"/>
    <col min="4" max="4" width="11.75" style="46" customWidth="1"/>
    <col min="5" max="5" width="11.625" style="46" customWidth="1"/>
    <col min="6" max="6" width="11.625" style="193" customWidth="1"/>
    <col min="7" max="8" width="11.5" style="46" customWidth="1"/>
    <col min="9" max="9" width="13" style="46" customWidth="1"/>
    <col min="10" max="11" width="13.375" style="46" customWidth="1"/>
    <col min="12" max="12" width="16.875" style="191" customWidth="1"/>
    <col min="13" max="13" width="13" style="46" customWidth="1"/>
    <col min="14" max="14" width="13.875" style="49" customWidth="1"/>
    <col min="15" max="15" width="10.5" style="49" customWidth="1"/>
    <col min="16" max="16" width="9" style="46"/>
    <col min="17" max="17" width="9.5" style="46" bestFit="1" customWidth="1"/>
    <col min="18" max="18" width="10" style="46" customWidth="1"/>
    <col min="19" max="19" width="12.375" style="46" customWidth="1"/>
    <col min="20" max="21" width="9.5" style="46" bestFit="1" customWidth="1"/>
    <col min="22" max="22" width="10.625" style="46" customWidth="1"/>
    <col min="23" max="23" width="12.75" style="46" customWidth="1"/>
    <col min="24" max="24" width="10.5" style="46" customWidth="1"/>
    <col min="25" max="25" width="10.375" style="46" customWidth="1"/>
    <col min="26" max="26" width="13.5" style="51" customWidth="1"/>
    <col min="27" max="27" width="10.375" style="52" customWidth="1"/>
    <col min="28" max="28" width="10.375" style="53" customWidth="1"/>
    <col min="29" max="29" width="16.25" style="189" customWidth="1"/>
    <col min="30" max="30" width="15.875" style="46" customWidth="1"/>
    <col min="31" max="31" width="9.5" style="46" bestFit="1" customWidth="1"/>
    <col min="32" max="32" width="9" style="46"/>
    <col min="33" max="33" width="33.375" style="46" customWidth="1"/>
    <col min="34" max="34" width="14.25" style="167" customWidth="1"/>
    <col min="35" max="35" width="18.375" style="46" customWidth="1"/>
    <col min="36" max="16384" width="9" style="46"/>
  </cols>
  <sheetData>
    <row r="1" spans="1:35">
      <c r="AB1" s="153"/>
      <c r="AC1" s="188"/>
    </row>
    <row r="2" spans="1:35"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157"/>
      <c r="U2" s="157"/>
      <c r="V2" s="157"/>
      <c r="W2" s="157"/>
      <c r="X2" s="157"/>
      <c r="AB2" s="153"/>
      <c r="AC2" s="188"/>
    </row>
    <row r="3" spans="1:35"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157"/>
      <c r="U3" s="157"/>
      <c r="V3" s="157"/>
      <c r="W3" s="157"/>
      <c r="X3" s="157"/>
      <c r="AB3" s="153"/>
      <c r="AC3" s="188"/>
    </row>
    <row r="4" spans="1:35">
      <c r="AB4" s="153"/>
      <c r="AC4" s="188"/>
    </row>
    <row r="5" spans="1:35">
      <c r="AB5" s="153"/>
      <c r="AC5" s="188"/>
    </row>
    <row r="6" spans="1:35" ht="18" customHeight="1">
      <c r="AB6" s="153"/>
      <c r="AC6" s="188"/>
    </row>
    <row r="7" spans="1:35" ht="18.75" customHeight="1">
      <c r="E7" s="209" t="s">
        <v>329</v>
      </c>
      <c r="F7" s="193" t="s">
        <v>1</v>
      </c>
      <c r="G7" s="213" t="s">
        <v>23</v>
      </c>
      <c r="H7" s="213" t="s">
        <v>4</v>
      </c>
      <c r="I7" s="213" t="s">
        <v>5</v>
      </c>
      <c r="J7" s="213" t="s">
        <v>6</v>
      </c>
      <c r="K7" s="151"/>
      <c r="L7" s="214" t="s">
        <v>7</v>
      </c>
      <c r="M7" s="213" t="s">
        <v>8</v>
      </c>
      <c r="N7" s="216" t="s">
        <v>9</v>
      </c>
      <c r="O7" s="216" t="s">
        <v>31</v>
      </c>
      <c r="P7" s="213" t="s">
        <v>15</v>
      </c>
      <c r="Q7" s="213" t="s">
        <v>16</v>
      </c>
      <c r="R7" s="213" t="s">
        <v>10</v>
      </c>
      <c r="S7" s="213" t="s">
        <v>11</v>
      </c>
      <c r="T7" s="213" t="s">
        <v>12</v>
      </c>
      <c r="U7" s="213" t="s">
        <v>13</v>
      </c>
      <c r="V7" s="213" t="s">
        <v>14</v>
      </c>
      <c r="W7" s="213" t="s">
        <v>27</v>
      </c>
      <c r="X7" s="209" t="s">
        <v>33</v>
      </c>
      <c r="Y7" s="209" t="s">
        <v>34</v>
      </c>
      <c r="AB7" s="153"/>
      <c r="AC7" s="188"/>
    </row>
    <row r="8" spans="1:35" ht="38.25" customHeight="1">
      <c r="B8" s="152" t="s">
        <v>255</v>
      </c>
      <c r="C8" s="176" t="s">
        <v>268</v>
      </c>
      <c r="D8" s="46" t="s">
        <v>328</v>
      </c>
      <c r="E8" s="209"/>
      <c r="G8" s="213"/>
      <c r="H8" s="213"/>
      <c r="I8" s="209"/>
      <c r="J8" s="209"/>
      <c r="K8" s="151" t="s">
        <v>161</v>
      </c>
      <c r="L8" s="215"/>
      <c r="M8" s="209"/>
      <c r="N8" s="217"/>
      <c r="O8" s="216"/>
      <c r="P8" s="213"/>
      <c r="Q8" s="209"/>
      <c r="R8" s="209"/>
      <c r="S8" s="209"/>
      <c r="T8" s="209"/>
      <c r="U8" s="209"/>
      <c r="V8" s="209"/>
      <c r="W8" s="209"/>
      <c r="X8" s="209"/>
      <c r="Y8" s="209"/>
      <c r="Z8" s="51" t="s">
        <v>39</v>
      </c>
      <c r="AA8" s="52" t="s">
        <v>37</v>
      </c>
      <c r="AB8" s="53" t="s">
        <v>98</v>
      </c>
      <c r="AC8" s="189" t="s">
        <v>99</v>
      </c>
      <c r="AE8" s="209" t="s">
        <v>257</v>
      </c>
      <c r="AF8" s="209"/>
      <c r="AG8" s="46" t="s">
        <v>258</v>
      </c>
      <c r="AH8" s="167" t="s">
        <v>260</v>
      </c>
      <c r="AI8" s="46" t="s">
        <v>259</v>
      </c>
    </row>
    <row r="9" spans="1:35">
      <c r="A9" s="46" t="s">
        <v>211</v>
      </c>
      <c r="D9" s="46" t="s">
        <v>289</v>
      </c>
      <c r="E9" s="166" t="s">
        <v>210</v>
      </c>
      <c r="F9" s="193">
        <v>341</v>
      </c>
      <c r="G9" s="46">
        <f>F9*3+1</f>
        <v>1024</v>
      </c>
      <c r="H9" s="46">
        <f t="shared" ref="H9" si="0">G9/2</f>
        <v>512</v>
      </c>
      <c r="I9" s="48" t="e">
        <f>2*PI()*L9/#REF!</f>
        <v>#REF!</v>
      </c>
      <c r="J9" s="48">
        <f t="shared" ref="J9:J23" si="1">PI()*L9/H9</f>
        <v>438104.91302013909</v>
      </c>
      <c r="K9" s="48">
        <f t="shared" ref="K9:K31" si="2">COS(85*PI()/180)*L9*2*PI()/G9</f>
        <v>38183.359095668391</v>
      </c>
      <c r="L9" s="191">
        <v>71400000</v>
      </c>
      <c r="M9" s="48">
        <v>1.74E-4</v>
      </c>
      <c r="N9" s="49">
        <v>0.33300000000000002</v>
      </c>
      <c r="O9" s="49">
        <v>1</v>
      </c>
      <c r="P9" s="50">
        <v>0.7</v>
      </c>
      <c r="Q9" s="48">
        <f t="shared" ref="Q9:Q23" si="3">2*PI()*L9*(P9/360)</f>
        <v>872315.56014676578</v>
      </c>
      <c r="R9" s="48">
        <v>100000</v>
      </c>
      <c r="S9" s="48">
        <v>12500</v>
      </c>
      <c r="T9" s="46" t="s">
        <v>19</v>
      </c>
      <c r="U9" s="48">
        <v>1000000</v>
      </c>
      <c r="V9" s="48">
        <v>60000</v>
      </c>
      <c r="W9" s="46">
        <v>10</v>
      </c>
      <c r="X9" s="46">
        <v>4</v>
      </c>
      <c r="Y9" s="48">
        <v>4.4999999999999998E+38</v>
      </c>
      <c r="Z9" s="51">
        <v>50</v>
      </c>
      <c r="AA9" s="52" t="s">
        <v>38</v>
      </c>
      <c r="AB9" s="53">
        <f t="shared" ref="AB9:AB31" si="4">SQRT(V9)/(2*M9)</f>
        <v>703876.3628687294</v>
      </c>
      <c r="AC9" s="189">
        <f t="shared" ref="AC9:AC31" si="5">(AB9/L9)^2</f>
        <v>9.7184351035573287E-5</v>
      </c>
      <c r="AD9" s="46" t="s">
        <v>243</v>
      </c>
      <c r="AE9" s="211">
        <f>180/PI() * ACOS(-V9/(4*AG9*M9*L9) + SQRT(1/16 * (V9/(AG9*M9*L9))^2 + 1))</f>
        <v>8.8854616228008858</v>
      </c>
      <c r="AF9" s="209"/>
      <c r="AG9" s="46">
        <v>100</v>
      </c>
      <c r="AH9" s="48">
        <f>SQRT(V9)/(2*M9*SIN(35*PI()/180))</f>
        <v>1227170.9893569197</v>
      </c>
    </row>
    <row r="10" spans="1:35">
      <c r="A10" s="46" t="s">
        <v>221</v>
      </c>
      <c r="B10" s="152" t="s">
        <v>256</v>
      </c>
      <c r="C10" s="175">
        <v>-20380</v>
      </c>
      <c r="D10" s="46" t="s">
        <v>290</v>
      </c>
      <c r="E10" s="46" t="s">
        <v>200</v>
      </c>
      <c r="F10" s="193">
        <v>170</v>
      </c>
      <c r="G10" s="46">
        <f t="shared" ref="G10:G31" si="6">F10*3+2</f>
        <v>512</v>
      </c>
      <c r="H10" s="46">
        <f t="shared" ref="H10" si="7">G10/2</f>
        <v>256</v>
      </c>
      <c r="I10" s="48">
        <f t="shared" ref="I10:I23" si="8">2*PI()*L10/G10</f>
        <v>876209.82604027819</v>
      </c>
      <c r="J10" s="48">
        <f t="shared" si="1"/>
        <v>876209.82604027819</v>
      </c>
      <c r="K10" s="48">
        <f t="shared" si="2"/>
        <v>76366.718191336782</v>
      </c>
      <c r="L10" s="191">
        <v>71400000</v>
      </c>
      <c r="M10" s="48">
        <v>1.74E-4</v>
      </c>
      <c r="N10" s="49">
        <v>0.1</v>
      </c>
      <c r="O10" s="49">
        <v>1</v>
      </c>
      <c r="P10" s="50">
        <v>2.1</v>
      </c>
      <c r="Q10" s="48">
        <f t="shared" si="3"/>
        <v>2616946.6804402978</v>
      </c>
      <c r="R10" s="48">
        <v>100000</v>
      </c>
      <c r="S10" s="48">
        <v>50000</v>
      </c>
      <c r="T10" s="46" t="s">
        <v>19</v>
      </c>
      <c r="U10" s="48">
        <v>1000000</v>
      </c>
      <c r="V10" s="48">
        <v>60000</v>
      </c>
      <c r="W10" s="46">
        <v>20</v>
      </c>
      <c r="X10" s="46">
        <v>4</v>
      </c>
      <c r="Y10" s="48">
        <v>1.0999999999999999E+41</v>
      </c>
      <c r="Z10" s="51">
        <v>50</v>
      </c>
      <c r="AA10" s="52" t="s">
        <v>38</v>
      </c>
      <c r="AB10" s="53">
        <f t="shared" si="4"/>
        <v>703876.3628687294</v>
      </c>
      <c r="AC10" s="189">
        <f t="shared" si="5"/>
        <v>9.7184351035573287E-5</v>
      </c>
      <c r="AD10" s="46" t="s">
        <v>243</v>
      </c>
      <c r="AE10" s="209"/>
      <c r="AF10" s="209"/>
    </row>
    <row r="11" spans="1:35">
      <c r="A11" s="46" t="s">
        <v>220</v>
      </c>
      <c r="B11" s="152" t="s">
        <v>256</v>
      </c>
      <c r="C11" s="175">
        <v>-87254</v>
      </c>
      <c r="D11" s="46" t="s">
        <v>275</v>
      </c>
      <c r="E11" s="166" t="s">
        <v>203</v>
      </c>
      <c r="F11" s="193">
        <v>170</v>
      </c>
      <c r="G11" s="46">
        <f t="shared" si="6"/>
        <v>512</v>
      </c>
      <c r="H11" s="46">
        <f t="shared" ref="H11:H14" si="9">G11/2</f>
        <v>256</v>
      </c>
      <c r="I11" s="48">
        <f t="shared" si="8"/>
        <v>876209.82604027819</v>
      </c>
      <c r="J11" s="48">
        <f t="shared" si="1"/>
        <v>876209.82604027819</v>
      </c>
      <c r="K11" s="48">
        <f t="shared" si="2"/>
        <v>76366.718191336782</v>
      </c>
      <c r="L11" s="191">
        <v>71400000</v>
      </c>
      <c r="M11" s="48">
        <v>1.74E-4</v>
      </c>
      <c r="N11" s="49">
        <v>0.33300000000000002</v>
      </c>
      <c r="O11" s="49">
        <v>1</v>
      </c>
      <c r="P11" s="50">
        <v>2.1</v>
      </c>
      <c r="Q11" s="48">
        <f t="shared" si="3"/>
        <v>2616946.6804402978</v>
      </c>
      <c r="R11" s="48">
        <v>100000</v>
      </c>
      <c r="S11" s="48">
        <v>100000</v>
      </c>
      <c r="T11" s="46" t="s">
        <v>19</v>
      </c>
      <c r="U11" s="48">
        <v>1000000</v>
      </c>
      <c r="V11" s="48">
        <v>60000</v>
      </c>
      <c r="W11" s="75">
        <v>20</v>
      </c>
      <c r="X11" s="46">
        <v>4</v>
      </c>
      <c r="Y11" s="48">
        <v>1.1E+43</v>
      </c>
      <c r="Z11" s="51">
        <v>50</v>
      </c>
      <c r="AA11" s="52" t="s">
        <v>38</v>
      </c>
      <c r="AB11" s="53">
        <f t="shared" si="4"/>
        <v>703876.3628687294</v>
      </c>
      <c r="AC11" s="189">
        <f t="shared" si="5"/>
        <v>9.7184351035573287E-5</v>
      </c>
      <c r="AD11" s="46" t="s">
        <v>243</v>
      </c>
      <c r="AE11" s="209"/>
      <c r="AF11" s="209"/>
    </row>
    <row r="12" spans="1:35" s="178" customFormat="1">
      <c r="A12" s="178" t="s">
        <v>236</v>
      </c>
      <c r="B12" s="178" t="s">
        <v>256</v>
      </c>
      <c r="C12" s="178">
        <v>-12677</v>
      </c>
      <c r="D12" s="178" t="s">
        <v>276</v>
      </c>
      <c r="E12" s="166" t="s">
        <v>214</v>
      </c>
      <c r="F12" s="193">
        <v>170</v>
      </c>
      <c r="G12" s="178">
        <f t="shared" si="6"/>
        <v>512</v>
      </c>
      <c r="H12" s="178">
        <f t="shared" si="9"/>
        <v>256</v>
      </c>
      <c r="I12" s="179">
        <f t="shared" ref="I12:I14" si="10">2*PI()*L12/G12</f>
        <v>876209.82604027819</v>
      </c>
      <c r="J12" s="179">
        <f t="shared" ref="J12:J14" si="11">PI()*L12/H12</f>
        <v>876209.82604027819</v>
      </c>
      <c r="K12" s="179">
        <f t="shared" ref="K12:K14" si="12">COS(85*PI()/180)*L12*2*PI()/G12</f>
        <v>76366.718191336782</v>
      </c>
      <c r="L12" s="191">
        <v>71400000</v>
      </c>
      <c r="M12" s="179">
        <v>1.74E-4</v>
      </c>
      <c r="N12" s="180">
        <v>0.33300000000000002</v>
      </c>
      <c r="O12" s="180">
        <v>1</v>
      </c>
      <c r="P12" s="50">
        <v>2.1</v>
      </c>
      <c r="Q12" s="179">
        <f t="shared" ref="Q12:Q14" si="13">2*PI()*L12*(P12/360)</f>
        <v>2616946.6804402978</v>
      </c>
      <c r="R12" s="179">
        <v>100000</v>
      </c>
      <c r="S12" s="179">
        <v>100000</v>
      </c>
      <c r="T12" s="178" t="s">
        <v>19</v>
      </c>
      <c r="U12" s="179">
        <v>1000000</v>
      </c>
      <c r="V12" s="179">
        <v>300000</v>
      </c>
      <c r="W12" s="178">
        <v>20</v>
      </c>
      <c r="X12" s="178">
        <v>4</v>
      </c>
      <c r="Y12" s="179">
        <v>1.0999999999999999E+41</v>
      </c>
      <c r="Z12" s="51">
        <v>50</v>
      </c>
      <c r="AA12" s="52" t="s">
        <v>38</v>
      </c>
      <c r="AB12" s="53">
        <f t="shared" ref="AB12:AB14" si="14">SQRT(V12)/(2*M12)</f>
        <v>1573915.3951297877</v>
      </c>
      <c r="AC12" s="189">
        <f t="shared" ref="AC12" si="15">(AB12/L12)^2</f>
        <v>4.8592175517786637E-4</v>
      </c>
      <c r="AD12" s="178" t="s">
        <v>132</v>
      </c>
      <c r="AE12" s="209"/>
      <c r="AF12" s="209"/>
    </row>
    <row r="13" spans="1:35" s="181" customFormat="1">
      <c r="A13" s="181" t="s">
        <v>232</v>
      </c>
      <c r="B13" s="181" t="s">
        <v>319</v>
      </c>
      <c r="C13" s="198" t="s">
        <v>267</v>
      </c>
      <c r="D13" s="181" t="s">
        <v>278</v>
      </c>
      <c r="E13" s="181" t="s">
        <v>271</v>
      </c>
      <c r="F13" s="194">
        <v>170</v>
      </c>
      <c r="G13" s="181">
        <f t="shared" si="6"/>
        <v>512</v>
      </c>
      <c r="H13" s="181">
        <f t="shared" ref="H13" si="16">G13/2</f>
        <v>256</v>
      </c>
      <c r="I13" s="182">
        <f t="shared" ref="I13" si="17">2*PI()*L13/G13</f>
        <v>3393656.3766551618</v>
      </c>
      <c r="J13" s="182">
        <f t="shared" ref="J13" si="18">PI()*L13/H13</f>
        <v>3393656.3766551618</v>
      </c>
      <c r="K13" s="182">
        <f t="shared" ref="K13" si="19">COS(85*PI()/180)*L13*2*PI()/G13</f>
        <v>295776.64213770692</v>
      </c>
      <c r="L13" s="192">
        <v>276540000</v>
      </c>
      <c r="M13" s="182">
        <v>1.74E-4</v>
      </c>
      <c r="N13" s="183">
        <v>0.33300000000000002</v>
      </c>
      <c r="O13" s="183">
        <v>1</v>
      </c>
      <c r="P13" s="184">
        <v>2.1</v>
      </c>
      <c r="Q13" s="182">
        <f t="shared" ref="Q13" si="20">2*PI()*L13*(P13/360)</f>
        <v>10135720.37827675</v>
      </c>
      <c r="R13" s="182">
        <v>100000</v>
      </c>
      <c r="S13" s="182">
        <v>100000</v>
      </c>
      <c r="T13" s="181" t="s">
        <v>19</v>
      </c>
      <c r="U13" s="182">
        <v>1000000</v>
      </c>
      <c r="V13" s="182">
        <v>900000</v>
      </c>
      <c r="W13" s="181">
        <v>20</v>
      </c>
      <c r="X13" s="181">
        <v>4</v>
      </c>
      <c r="Y13" s="182">
        <v>1.0999999999999999E+41</v>
      </c>
      <c r="Z13" s="185">
        <v>50</v>
      </c>
      <c r="AA13" s="186" t="s">
        <v>38</v>
      </c>
      <c r="AB13" s="187">
        <f t="shared" ref="AB13" si="21">SQRT(V13)/(2*M13)</f>
        <v>2726101.4311796376</v>
      </c>
      <c r="AC13" s="190">
        <f>(AB13/L13)^2</f>
        <v>9.7178033079511688E-5</v>
      </c>
      <c r="AD13" s="181" t="s">
        <v>243</v>
      </c>
      <c r="AE13" s="210"/>
      <c r="AF13" s="210"/>
    </row>
    <row r="14" spans="1:35" s="181" customFormat="1">
      <c r="A14" s="199" t="s">
        <v>232</v>
      </c>
      <c r="B14" s="181" t="s">
        <v>319</v>
      </c>
      <c r="C14" s="198" t="s">
        <v>267</v>
      </c>
      <c r="D14" s="181" t="s">
        <v>279</v>
      </c>
      <c r="E14" s="181" t="s">
        <v>272</v>
      </c>
      <c r="F14" s="194">
        <v>170</v>
      </c>
      <c r="G14" s="181">
        <f t="shared" si="6"/>
        <v>512</v>
      </c>
      <c r="H14" s="181">
        <f t="shared" si="9"/>
        <v>256</v>
      </c>
      <c r="I14" s="182">
        <f t="shared" si="10"/>
        <v>1517659.2323025379</v>
      </c>
      <c r="J14" s="182">
        <f t="shared" si="11"/>
        <v>1517659.2323025379</v>
      </c>
      <c r="K14" s="182">
        <f t="shared" si="12"/>
        <v>132272.71762916836</v>
      </c>
      <c r="L14" s="192">
        <v>123670000</v>
      </c>
      <c r="M14" s="182">
        <v>1.74E-4</v>
      </c>
      <c r="N14" s="183">
        <v>0.33300000000000002</v>
      </c>
      <c r="O14" s="183">
        <v>1</v>
      </c>
      <c r="P14" s="184">
        <v>2.1</v>
      </c>
      <c r="Q14" s="182">
        <f t="shared" si="13"/>
        <v>4532742.2404769138</v>
      </c>
      <c r="R14" s="182">
        <v>100000</v>
      </c>
      <c r="S14" s="182">
        <v>100000</v>
      </c>
      <c r="T14" s="181" t="s">
        <v>19</v>
      </c>
      <c r="U14" s="182">
        <v>1000000</v>
      </c>
      <c r="V14" s="182">
        <v>900000</v>
      </c>
      <c r="W14" s="181">
        <v>20</v>
      </c>
      <c r="X14" s="181">
        <v>4</v>
      </c>
      <c r="Y14" s="182">
        <v>1.0999999999999999E+41</v>
      </c>
      <c r="Z14" s="185">
        <v>50</v>
      </c>
      <c r="AA14" s="186" t="s">
        <v>38</v>
      </c>
      <c r="AB14" s="187">
        <f t="shared" si="14"/>
        <v>2726101.4311796376</v>
      </c>
      <c r="AC14" s="190">
        <f>(AB14/L14)^2</f>
        <v>4.859093992442926E-4</v>
      </c>
      <c r="AD14" s="181" t="s">
        <v>132</v>
      </c>
      <c r="AE14" s="210"/>
      <c r="AF14" s="210"/>
    </row>
    <row r="15" spans="1:35">
      <c r="A15" s="46" t="s">
        <v>237</v>
      </c>
      <c r="B15" s="152" t="s">
        <v>256</v>
      </c>
      <c r="C15" s="175" t="s">
        <v>267</v>
      </c>
      <c r="D15" s="46" t="s">
        <v>277</v>
      </c>
      <c r="E15" s="166" t="s">
        <v>215</v>
      </c>
      <c r="F15" s="193">
        <v>170</v>
      </c>
      <c r="G15" s="46">
        <f t="shared" si="6"/>
        <v>512</v>
      </c>
      <c r="H15" s="46">
        <f t="shared" ref="H15:H19" si="22">G15/2</f>
        <v>256</v>
      </c>
      <c r="I15" s="48">
        <f t="shared" si="8"/>
        <v>876209.82604027819</v>
      </c>
      <c r="J15" s="48">
        <f t="shared" si="1"/>
        <v>876209.82604027819</v>
      </c>
      <c r="K15" s="48">
        <f t="shared" si="2"/>
        <v>76366.718191336782</v>
      </c>
      <c r="L15" s="191">
        <v>71400000</v>
      </c>
      <c r="M15" s="48">
        <v>1.74E-4</v>
      </c>
      <c r="N15" s="49">
        <v>0.33300000000000002</v>
      </c>
      <c r="O15" s="49">
        <v>1</v>
      </c>
      <c r="P15" s="50">
        <v>2.1</v>
      </c>
      <c r="Q15" s="48">
        <f t="shared" si="3"/>
        <v>2616946.6804402978</v>
      </c>
      <c r="R15" s="48">
        <v>100000</v>
      </c>
      <c r="S15" s="48">
        <v>100000</v>
      </c>
      <c r="T15" s="46" t="s">
        <v>19</v>
      </c>
      <c r="U15" s="48">
        <v>1000000</v>
      </c>
      <c r="V15" s="48">
        <v>900000</v>
      </c>
      <c r="W15" s="46">
        <v>20</v>
      </c>
      <c r="X15" s="46">
        <v>4</v>
      </c>
      <c r="Y15" s="48">
        <v>1.0999999999999999E+41</v>
      </c>
      <c r="Z15" s="51">
        <v>50</v>
      </c>
      <c r="AA15" s="52" t="s">
        <v>38</v>
      </c>
      <c r="AB15" s="53">
        <f t="shared" si="4"/>
        <v>2726101.4311796376</v>
      </c>
      <c r="AC15" s="189">
        <f t="shared" si="5"/>
        <v>1.4577652655335994E-3</v>
      </c>
      <c r="AD15" s="46" t="s">
        <v>238</v>
      </c>
      <c r="AE15" s="209"/>
      <c r="AF15" s="209"/>
    </row>
    <row r="16" spans="1:35" s="181" customFormat="1">
      <c r="A16" s="199" t="s">
        <v>232</v>
      </c>
      <c r="B16" s="181" t="s">
        <v>319</v>
      </c>
      <c r="C16" s="198" t="s">
        <v>267</v>
      </c>
      <c r="D16" s="181" t="s">
        <v>280</v>
      </c>
      <c r="E16" s="181" t="s">
        <v>273</v>
      </c>
      <c r="F16" s="194">
        <v>170</v>
      </c>
      <c r="G16" s="181">
        <f t="shared" si="6"/>
        <v>512</v>
      </c>
      <c r="H16" s="181">
        <f>G16/2</f>
        <v>256</v>
      </c>
      <c r="I16" s="182">
        <f>2*PI()*L16/G16</f>
        <v>502163.95072224352</v>
      </c>
      <c r="J16" s="182">
        <f>PI()*L16/H16</f>
        <v>502163.95072224352</v>
      </c>
      <c r="K16" s="182">
        <f>COS(85*PI()/180)*L16*2*PI()/G16</f>
        <v>43766.472106295536</v>
      </c>
      <c r="L16" s="192">
        <v>40920000</v>
      </c>
      <c r="M16" s="182">
        <v>1.74E-4</v>
      </c>
      <c r="N16" s="183">
        <v>0.33300000000000002</v>
      </c>
      <c r="O16" s="183">
        <v>1</v>
      </c>
      <c r="P16" s="184">
        <v>2.1</v>
      </c>
      <c r="Q16" s="182">
        <f>2*PI()*L16*(P16/360)</f>
        <v>1499796.3328237673</v>
      </c>
      <c r="R16" s="182">
        <v>100000</v>
      </c>
      <c r="S16" s="182">
        <v>100000</v>
      </c>
      <c r="T16" s="181" t="s">
        <v>19</v>
      </c>
      <c r="U16" s="182">
        <v>1000000</v>
      </c>
      <c r="V16" s="182">
        <v>900000</v>
      </c>
      <c r="W16" s="181">
        <v>20</v>
      </c>
      <c r="X16" s="181">
        <v>4</v>
      </c>
      <c r="Y16" s="182">
        <v>1.0999999999999999E+41</v>
      </c>
      <c r="Z16" s="185">
        <v>50</v>
      </c>
      <c r="AA16" s="186" t="s">
        <v>38</v>
      </c>
      <c r="AB16" s="187">
        <f>SQRT(V16)/(2*M16)</f>
        <v>2726101.4311796376</v>
      </c>
      <c r="AC16" s="190">
        <f>(AB16/L16)^2</f>
        <v>4.4382603188012877E-3</v>
      </c>
      <c r="AD16" s="181" t="s">
        <v>244</v>
      </c>
      <c r="AE16" s="210"/>
      <c r="AF16" s="210"/>
    </row>
    <row r="17" spans="1:36" s="181" customFormat="1">
      <c r="A17" s="199" t="s">
        <v>232</v>
      </c>
      <c r="B17" s="181" t="s">
        <v>319</v>
      </c>
      <c r="C17" s="198" t="s">
        <v>267</v>
      </c>
      <c r="D17" s="181" t="s">
        <v>281</v>
      </c>
      <c r="E17" s="181" t="s">
        <v>274</v>
      </c>
      <c r="F17" s="194">
        <v>170</v>
      </c>
      <c r="G17" s="181">
        <f t="shared" si="6"/>
        <v>512</v>
      </c>
      <c r="H17" s="181">
        <f t="shared" ref="H17" si="23">G17/2</f>
        <v>256</v>
      </c>
      <c r="I17" s="182">
        <f t="shared" ref="I17" si="24">2*PI()*L17/G17</f>
        <v>333794.21944391553</v>
      </c>
      <c r="J17" s="182">
        <f t="shared" ref="J17" si="25">PI()*L17/H17</f>
        <v>333794.21944391553</v>
      </c>
      <c r="K17" s="182">
        <f t="shared" ref="K17" si="26">COS(85*PI()/180)*L17*2*PI()/G17</f>
        <v>29092.083120509247</v>
      </c>
      <c r="L17" s="192">
        <v>27200000</v>
      </c>
      <c r="M17" s="182">
        <v>1.74E-4</v>
      </c>
      <c r="N17" s="183">
        <v>0.33300000000000002</v>
      </c>
      <c r="O17" s="183">
        <v>1</v>
      </c>
      <c r="P17" s="184">
        <v>2.1</v>
      </c>
      <c r="Q17" s="182">
        <f t="shared" ref="Q17" si="27">2*PI()*L17*(P17/360)</f>
        <v>996932.06873916113</v>
      </c>
      <c r="R17" s="182">
        <v>100000</v>
      </c>
      <c r="S17" s="182">
        <v>100000</v>
      </c>
      <c r="T17" s="181" t="s">
        <v>19</v>
      </c>
      <c r="U17" s="182">
        <v>1000000</v>
      </c>
      <c r="V17" s="182">
        <v>900000</v>
      </c>
      <c r="W17" s="181">
        <v>20</v>
      </c>
      <c r="X17" s="181">
        <v>4</v>
      </c>
      <c r="Y17" s="182">
        <v>1.0999999999999999E+41</v>
      </c>
      <c r="Z17" s="185">
        <v>50</v>
      </c>
      <c r="AA17" s="186" t="s">
        <v>38</v>
      </c>
      <c r="AB17" s="187">
        <f t="shared" ref="AB17" si="28">SQRT(V17)/(2*M17)</f>
        <v>2726101.4311796376</v>
      </c>
      <c r="AC17" s="190">
        <f>(AB17/L17)^2</f>
        <v>1.0044913782817459E-2</v>
      </c>
      <c r="AD17" s="181" t="s">
        <v>244</v>
      </c>
      <c r="AE17" s="210"/>
      <c r="AF17" s="210"/>
    </row>
    <row r="18" spans="1:36">
      <c r="A18" s="177" t="s">
        <v>232</v>
      </c>
      <c r="B18" s="152" t="s">
        <v>270</v>
      </c>
      <c r="C18" s="175" t="s">
        <v>267</v>
      </c>
      <c r="D18" s="46" t="s">
        <v>116</v>
      </c>
      <c r="E18" s="166" t="s">
        <v>264</v>
      </c>
      <c r="F18" s="193">
        <v>170</v>
      </c>
      <c r="G18" s="46">
        <f>F18*3+2</f>
        <v>512</v>
      </c>
      <c r="H18" s="46">
        <f t="shared" ref="H18" si="29">G18/2</f>
        <v>256</v>
      </c>
      <c r="I18" s="48">
        <f>2*PI()*L18/G18</f>
        <v>876209.82604027819</v>
      </c>
      <c r="J18" s="48">
        <f>PI()*L18/H18</f>
        <v>876209.82604027819</v>
      </c>
      <c r="K18" s="48">
        <f>COS(85*PI()/180)*L18*2*PI()/G18</f>
        <v>76366.718191336782</v>
      </c>
      <c r="L18" s="191">
        <v>71400000</v>
      </c>
      <c r="M18" s="48">
        <v>1.74E-4</v>
      </c>
      <c r="N18" s="49">
        <v>0.33300000000000002</v>
      </c>
      <c r="O18" s="49">
        <v>1</v>
      </c>
      <c r="P18" s="50">
        <v>2.1</v>
      </c>
      <c r="Q18" s="48">
        <f>2*PI()*L18*(P18/360)</f>
        <v>2616946.6804402978</v>
      </c>
      <c r="R18" s="48">
        <v>100000</v>
      </c>
      <c r="S18" s="48">
        <v>100000</v>
      </c>
      <c r="T18" s="46" t="s">
        <v>19</v>
      </c>
      <c r="U18" s="48">
        <v>1000000</v>
      </c>
      <c r="V18" s="48">
        <v>2740000</v>
      </c>
      <c r="W18" s="46">
        <v>20</v>
      </c>
      <c r="X18" s="46">
        <v>4</v>
      </c>
      <c r="Y18" s="48">
        <v>1.0999999999999999E+41</v>
      </c>
      <c r="Z18" s="51">
        <v>50</v>
      </c>
      <c r="AA18" s="52" t="s">
        <v>38</v>
      </c>
      <c r="AB18" s="53">
        <f>SQRT(V18)/(2*M18)</f>
        <v>4756593.4934617383</v>
      </c>
      <c r="AC18" s="189">
        <f>(AB18/L18)^2</f>
        <v>4.4380853639578461E-3</v>
      </c>
      <c r="AD18" s="46" t="s">
        <v>244</v>
      </c>
      <c r="AE18" s="209"/>
      <c r="AF18" s="209"/>
    </row>
    <row r="19" spans="1:36" s="171" customFormat="1">
      <c r="A19" s="171" t="s">
        <v>232</v>
      </c>
      <c r="B19" s="171" t="s">
        <v>256</v>
      </c>
      <c r="C19" s="175" t="s">
        <v>267</v>
      </c>
      <c r="D19" s="171" t="s">
        <v>320</v>
      </c>
      <c r="E19" s="166" t="s">
        <v>242</v>
      </c>
      <c r="F19" s="193">
        <v>170</v>
      </c>
      <c r="G19" s="171">
        <f t="shared" si="6"/>
        <v>512</v>
      </c>
      <c r="H19" s="171">
        <f t="shared" si="22"/>
        <v>256</v>
      </c>
      <c r="I19" s="173">
        <f t="shared" ref="I19" si="30">2*PI()*L19/G19</f>
        <v>876209.82604027819</v>
      </c>
      <c r="J19" s="173">
        <f t="shared" ref="J19" si="31">PI()*L19/H19</f>
        <v>876209.82604027819</v>
      </c>
      <c r="K19" s="173">
        <f t="shared" ref="K19" si="32">COS(85*PI()/180)*L19*2*PI()/G19</f>
        <v>76366.718191336782</v>
      </c>
      <c r="L19" s="191">
        <v>71400000</v>
      </c>
      <c r="M19" s="173">
        <v>1.74E-4</v>
      </c>
      <c r="N19" s="172">
        <v>0.33300000000000002</v>
      </c>
      <c r="O19" s="172">
        <v>1</v>
      </c>
      <c r="P19" s="50">
        <v>2.1</v>
      </c>
      <c r="Q19" s="173">
        <f t="shared" ref="Q19" si="33">2*PI()*L19*(P19/360)</f>
        <v>2616946.6804402978</v>
      </c>
      <c r="R19" s="173">
        <v>100000</v>
      </c>
      <c r="S19" s="173">
        <v>100000</v>
      </c>
      <c r="T19" s="171" t="s">
        <v>19</v>
      </c>
      <c r="U19" s="173">
        <v>1000000</v>
      </c>
      <c r="V19" s="173">
        <v>6200000</v>
      </c>
      <c r="W19" s="171">
        <v>20</v>
      </c>
      <c r="X19" s="171">
        <v>4</v>
      </c>
      <c r="Y19" s="173">
        <v>1.0999999999999999E+41</v>
      </c>
      <c r="Z19" s="51">
        <v>50</v>
      </c>
      <c r="AA19" s="52" t="s">
        <v>38</v>
      </c>
      <c r="AB19" s="53">
        <f t="shared" ref="AB19" si="34">SQRT(V19)/(2*M19)</f>
        <v>7155114.7114877775</v>
      </c>
      <c r="AC19" s="189">
        <f t="shared" ref="AC19" si="35">(AB19/L19)^2</f>
        <v>1.0042382940342574E-2</v>
      </c>
      <c r="AD19" s="171" t="s">
        <v>244</v>
      </c>
      <c r="AE19" s="209"/>
      <c r="AF19" s="209"/>
    </row>
    <row r="20" spans="1:36">
      <c r="A20" s="168" t="s">
        <v>232</v>
      </c>
      <c r="B20" s="152" t="s">
        <v>262</v>
      </c>
      <c r="C20" s="175">
        <v>-34156</v>
      </c>
      <c r="D20" s="46" t="s">
        <v>282</v>
      </c>
      <c r="E20" s="166" t="s">
        <v>230</v>
      </c>
      <c r="F20" s="193">
        <v>170</v>
      </c>
      <c r="G20" s="46">
        <f t="shared" si="6"/>
        <v>512</v>
      </c>
      <c r="H20" s="46">
        <f>G20/2</f>
        <v>256</v>
      </c>
      <c r="I20" s="48">
        <f t="shared" si="8"/>
        <v>876209.82604027819</v>
      </c>
      <c r="J20" s="48">
        <f t="shared" si="1"/>
        <v>876209.82604027819</v>
      </c>
      <c r="K20" s="48">
        <f t="shared" si="2"/>
        <v>76366.718191336782</v>
      </c>
      <c r="L20" s="191">
        <v>71400000</v>
      </c>
      <c r="M20" s="48">
        <v>1.74E-4</v>
      </c>
      <c r="N20" s="49">
        <v>0.33300000000000002</v>
      </c>
      <c r="O20" s="49">
        <v>1</v>
      </c>
      <c r="P20" s="50">
        <v>2.1</v>
      </c>
      <c r="Q20" s="48">
        <f t="shared" si="3"/>
        <v>2616946.6804402978</v>
      </c>
      <c r="R20" s="48">
        <v>100000</v>
      </c>
      <c r="S20" s="48">
        <v>100000</v>
      </c>
      <c r="T20" s="154">
        <v>100000000</v>
      </c>
      <c r="U20" s="48">
        <v>1000000</v>
      </c>
      <c r="V20" s="48">
        <v>60000</v>
      </c>
      <c r="W20" s="46">
        <v>20</v>
      </c>
      <c r="X20" s="46">
        <v>4</v>
      </c>
      <c r="Y20" s="48">
        <v>1.1E+43</v>
      </c>
      <c r="Z20" s="51">
        <v>50</v>
      </c>
      <c r="AA20" s="52" t="s">
        <v>38</v>
      </c>
      <c r="AB20" s="53">
        <f t="shared" si="4"/>
        <v>703876.3628687294</v>
      </c>
      <c r="AC20" s="189">
        <f t="shared" si="5"/>
        <v>9.7184351035573287E-5</v>
      </c>
      <c r="AD20" s="46" t="s">
        <v>243</v>
      </c>
      <c r="AE20" s="209"/>
      <c r="AF20" s="209"/>
    </row>
    <row r="21" spans="1:36">
      <c r="A21" s="46" t="s">
        <v>234</v>
      </c>
      <c r="B21" s="152" t="s">
        <v>256</v>
      </c>
      <c r="C21" s="175" t="s">
        <v>267</v>
      </c>
      <c r="D21" s="46" t="s">
        <v>283</v>
      </c>
      <c r="E21" s="166" t="s">
        <v>218</v>
      </c>
      <c r="F21" s="193">
        <v>170</v>
      </c>
      <c r="G21" s="46">
        <f t="shared" si="6"/>
        <v>512</v>
      </c>
      <c r="H21" s="46">
        <f t="shared" ref="H21:H30" si="36">G21/2</f>
        <v>256</v>
      </c>
      <c r="I21" s="48">
        <f t="shared" si="8"/>
        <v>876209.82604027819</v>
      </c>
      <c r="J21" s="48">
        <f t="shared" si="1"/>
        <v>876209.82604027819</v>
      </c>
      <c r="K21" s="48">
        <f t="shared" si="2"/>
        <v>76366.718191336782</v>
      </c>
      <c r="L21" s="191">
        <v>71400000</v>
      </c>
      <c r="M21" s="48">
        <v>1.74E-4</v>
      </c>
      <c r="N21" s="49">
        <v>0.33300000000000002</v>
      </c>
      <c r="O21" s="49">
        <v>1</v>
      </c>
      <c r="P21" s="50">
        <v>2.1</v>
      </c>
      <c r="Q21" s="48">
        <f t="shared" si="3"/>
        <v>2616946.6804402978</v>
      </c>
      <c r="R21" s="48">
        <v>100000</v>
      </c>
      <c r="S21" s="48">
        <v>100000</v>
      </c>
      <c r="T21" s="48">
        <v>10000000</v>
      </c>
      <c r="U21" s="48">
        <v>1000000</v>
      </c>
      <c r="V21" s="48">
        <v>60000</v>
      </c>
      <c r="W21" s="46">
        <v>20</v>
      </c>
      <c r="X21" s="46">
        <v>4</v>
      </c>
      <c r="Y21" s="48">
        <v>1.1E+43</v>
      </c>
      <c r="Z21" s="51">
        <v>50</v>
      </c>
      <c r="AA21" s="52" t="s">
        <v>38</v>
      </c>
      <c r="AB21" s="53">
        <f t="shared" si="4"/>
        <v>703876.3628687294</v>
      </c>
      <c r="AC21" s="189">
        <f t="shared" si="5"/>
        <v>9.7184351035573287E-5</v>
      </c>
      <c r="AD21" s="46" t="s">
        <v>243</v>
      </c>
      <c r="AE21" s="209"/>
      <c r="AF21" s="209"/>
    </row>
    <row r="22" spans="1:36">
      <c r="A22" s="171" t="s">
        <v>232</v>
      </c>
      <c r="B22" s="152" t="s">
        <v>265</v>
      </c>
      <c r="C22" s="175" t="s">
        <v>267</v>
      </c>
      <c r="E22" s="166" t="s">
        <v>254</v>
      </c>
      <c r="F22" s="193">
        <v>170</v>
      </c>
      <c r="G22" s="46">
        <f t="shared" si="6"/>
        <v>512</v>
      </c>
      <c r="H22" s="46">
        <f t="shared" si="36"/>
        <v>256</v>
      </c>
      <c r="I22" s="48">
        <f t="shared" si="8"/>
        <v>876209.82604027819</v>
      </c>
      <c r="J22" s="48">
        <f t="shared" si="1"/>
        <v>876209.82604027819</v>
      </c>
      <c r="K22" s="48">
        <f t="shared" si="2"/>
        <v>76366.718191336782</v>
      </c>
      <c r="L22" s="191">
        <v>71400000</v>
      </c>
      <c r="M22" s="48">
        <v>1.74E-4</v>
      </c>
      <c r="N22" s="49">
        <v>0.33300000000000002</v>
      </c>
      <c r="O22" s="49">
        <v>1</v>
      </c>
      <c r="P22" s="50">
        <v>2.1</v>
      </c>
      <c r="Q22" s="48">
        <f t="shared" si="3"/>
        <v>2616946.6804402978</v>
      </c>
      <c r="R22" s="48">
        <v>100000</v>
      </c>
      <c r="S22" s="48">
        <v>100000</v>
      </c>
      <c r="T22" s="48">
        <v>10000000</v>
      </c>
      <c r="U22" s="48">
        <v>1000000</v>
      </c>
      <c r="V22" s="48">
        <v>300000</v>
      </c>
      <c r="W22" s="46">
        <v>20</v>
      </c>
      <c r="X22" s="46">
        <v>4</v>
      </c>
      <c r="Y22" s="48">
        <v>1.1E+43</v>
      </c>
      <c r="Z22" s="51">
        <v>50</v>
      </c>
      <c r="AA22" s="52" t="s">
        <v>38</v>
      </c>
      <c r="AB22" s="53">
        <f t="shared" si="4"/>
        <v>1573915.3951297877</v>
      </c>
      <c r="AC22" s="189">
        <f t="shared" si="5"/>
        <v>4.8592175517786637E-4</v>
      </c>
      <c r="AD22" s="46" t="s">
        <v>132</v>
      </c>
      <c r="AE22" s="209"/>
      <c r="AF22" s="209"/>
      <c r="AI22" s="48"/>
      <c r="AJ22" s="48"/>
    </row>
    <row r="23" spans="1:36">
      <c r="A23" s="174" t="s">
        <v>232</v>
      </c>
      <c r="B23" s="152" t="s">
        <v>266</v>
      </c>
      <c r="C23" s="175" t="s">
        <v>267</v>
      </c>
      <c r="E23" s="166" t="s">
        <v>261</v>
      </c>
      <c r="F23" s="193">
        <v>170</v>
      </c>
      <c r="G23" s="46">
        <f t="shared" si="6"/>
        <v>512</v>
      </c>
      <c r="H23" s="46">
        <f t="shared" ref="H23" si="37">G23/2</f>
        <v>256</v>
      </c>
      <c r="I23" s="48">
        <f t="shared" si="8"/>
        <v>876209.82604027819</v>
      </c>
      <c r="J23" s="48">
        <f t="shared" si="1"/>
        <v>876209.82604027819</v>
      </c>
      <c r="K23" s="48">
        <f t="shared" si="2"/>
        <v>76366.718191336782</v>
      </c>
      <c r="L23" s="191">
        <v>71400000</v>
      </c>
      <c r="M23" s="48">
        <v>1.74E-4</v>
      </c>
      <c r="N23" s="49">
        <v>0.33300000000000002</v>
      </c>
      <c r="O23" s="49">
        <v>1</v>
      </c>
      <c r="P23" s="50">
        <v>2.1</v>
      </c>
      <c r="Q23" s="48">
        <f t="shared" si="3"/>
        <v>2616946.6804402978</v>
      </c>
      <c r="R23" s="48">
        <v>100000</v>
      </c>
      <c r="S23" s="48">
        <v>100000</v>
      </c>
      <c r="T23" s="48">
        <v>10000000</v>
      </c>
      <c r="U23" s="48">
        <v>1000000</v>
      </c>
      <c r="V23" s="48">
        <v>6200000</v>
      </c>
      <c r="W23" s="46">
        <v>20</v>
      </c>
      <c r="X23" s="46">
        <v>4</v>
      </c>
      <c r="Y23" s="48">
        <v>1.1E+43</v>
      </c>
      <c r="Z23" s="51">
        <v>50</v>
      </c>
      <c r="AA23" s="52" t="s">
        <v>38</v>
      </c>
      <c r="AB23" s="53">
        <f t="shared" si="4"/>
        <v>7155114.7114877775</v>
      </c>
      <c r="AC23" s="189">
        <f t="shared" si="5"/>
        <v>1.0042382940342574E-2</v>
      </c>
      <c r="AD23" s="46" t="s">
        <v>244</v>
      </c>
      <c r="AE23" s="209"/>
      <c r="AF23" s="209"/>
      <c r="AI23" s="48"/>
      <c r="AJ23" s="48"/>
    </row>
    <row r="24" spans="1:36">
      <c r="A24" s="169" t="s">
        <v>232</v>
      </c>
      <c r="B24" s="152" t="s">
        <v>263</v>
      </c>
      <c r="C24" s="175" t="s">
        <v>267</v>
      </c>
      <c r="D24" s="46" t="s">
        <v>284</v>
      </c>
      <c r="E24" s="166" t="s">
        <v>235</v>
      </c>
      <c r="F24" s="193">
        <v>170</v>
      </c>
      <c r="G24" s="46">
        <f t="shared" si="6"/>
        <v>512</v>
      </c>
      <c r="H24" s="46">
        <f>G24/2</f>
        <v>256</v>
      </c>
      <c r="I24" s="48">
        <f>2*PI()*M21/G24</f>
        <v>2.1353012567368124E-6</v>
      </c>
      <c r="J24" s="48">
        <f>PI()*M21/H24</f>
        <v>2.1353012567368124E-6</v>
      </c>
      <c r="K24" s="48">
        <f t="shared" si="2"/>
        <v>76366.718191336782</v>
      </c>
      <c r="L24" s="191">
        <v>71400000</v>
      </c>
      <c r="M24" s="48">
        <v>1.74E-4</v>
      </c>
      <c r="N24" s="49">
        <v>0.33300000000000002</v>
      </c>
      <c r="O24" s="49">
        <v>1</v>
      </c>
      <c r="P24" s="50">
        <v>2.1</v>
      </c>
      <c r="Q24" s="48">
        <f t="shared" ref="Q24" si="38">2*PI()*L24*(P24/360)</f>
        <v>2616946.6804402978</v>
      </c>
      <c r="R24" s="48">
        <v>100000</v>
      </c>
      <c r="S24" s="48">
        <v>100000</v>
      </c>
      <c r="T24" s="48">
        <v>1000000</v>
      </c>
      <c r="U24" s="48">
        <v>1000000</v>
      </c>
      <c r="V24" s="48">
        <v>60000</v>
      </c>
      <c r="W24" s="46">
        <v>20</v>
      </c>
      <c r="X24" s="46">
        <v>4</v>
      </c>
      <c r="Y24" s="48">
        <v>1.1E+43</v>
      </c>
      <c r="Z24" s="51">
        <v>50</v>
      </c>
      <c r="AA24" s="52" t="s">
        <v>38</v>
      </c>
      <c r="AB24" s="53">
        <f t="shared" si="4"/>
        <v>703876.3628687294</v>
      </c>
      <c r="AC24" s="189">
        <f t="shared" si="5"/>
        <v>9.7184351035573287E-5</v>
      </c>
      <c r="AD24" s="46" t="s">
        <v>243</v>
      </c>
      <c r="AE24" s="209"/>
      <c r="AF24" s="209"/>
    </row>
    <row r="25" spans="1:36">
      <c r="A25" s="46" t="s">
        <v>232</v>
      </c>
      <c r="B25" s="152" t="s">
        <v>256</v>
      </c>
      <c r="C25" s="175" t="s">
        <v>267</v>
      </c>
      <c r="D25" s="46" t="s">
        <v>285</v>
      </c>
      <c r="E25" s="166" t="s">
        <v>222</v>
      </c>
      <c r="F25" s="193">
        <v>170</v>
      </c>
      <c r="G25" s="46">
        <f t="shared" si="6"/>
        <v>512</v>
      </c>
      <c r="H25" s="46">
        <f t="shared" si="36"/>
        <v>256</v>
      </c>
      <c r="I25" s="48">
        <f t="shared" ref="I25:I31" si="39">2*PI()*L25/G25</f>
        <v>876209.82604027819</v>
      </c>
      <c r="J25" s="48">
        <f t="shared" ref="J25:J31" si="40">PI()*L25/H25</f>
        <v>876209.82604027819</v>
      </c>
      <c r="K25" s="48">
        <f t="shared" si="2"/>
        <v>76366.718191336782</v>
      </c>
      <c r="L25" s="191">
        <v>71400000</v>
      </c>
      <c r="M25" s="48">
        <v>1.74E-4</v>
      </c>
      <c r="N25" s="49">
        <v>0.33300000000000002</v>
      </c>
      <c r="O25" s="49">
        <v>1</v>
      </c>
      <c r="P25" s="50">
        <v>2.1</v>
      </c>
      <c r="Q25" s="48">
        <f t="shared" ref="Q25:Q31" si="41">2*PI()*L25*(P25/360)</f>
        <v>2616946.6804402978</v>
      </c>
      <c r="R25" s="48">
        <v>100000</v>
      </c>
      <c r="S25" s="48">
        <v>100000</v>
      </c>
      <c r="T25" s="48">
        <v>100000</v>
      </c>
      <c r="U25" s="48">
        <v>1000000</v>
      </c>
      <c r="V25" s="48">
        <v>60000</v>
      </c>
      <c r="W25" s="46">
        <v>20</v>
      </c>
      <c r="X25" s="46">
        <v>4</v>
      </c>
      <c r="Y25" s="48">
        <v>1.1E+43</v>
      </c>
      <c r="Z25" s="51">
        <v>50</v>
      </c>
      <c r="AA25" s="52" t="s">
        <v>38</v>
      </c>
      <c r="AB25" s="53">
        <f t="shared" si="4"/>
        <v>703876.3628687294</v>
      </c>
      <c r="AC25" s="189">
        <f t="shared" si="5"/>
        <v>9.7184351035573287E-5</v>
      </c>
      <c r="AD25" s="46" t="s">
        <v>243</v>
      </c>
      <c r="AE25" s="209"/>
      <c r="AF25" s="209"/>
    </row>
    <row r="26" spans="1:36">
      <c r="A26" s="46" t="s">
        <v>233</v>
      </c>
      <c r="B26" s="152" t="s">
        <v>256</v>
      </c>
      <c r="C26" s="175" t="s">
        <v>267</v>
      </c>
      <c r="D26" s="46" t="s">
        <v>286</v>
      </c>
      <c r="E26" s="166" t="s">
        <v>217</v>
      </c>
      <c r="F26" s="193">
        <v>170</v>
      </c>
      <c r="G26" s="46">
        <f t="shared" si="6"/>
        <v>512</v>
      </c>
      <c r="H26" s="46">
        <f>G26/2</f>
        <v>256</v>
      </c>
      <c r="I26" s="48">
        <f t="shared" si="39"/>
        <v>876209.82604027819</v>
      </c>
      <c r="J26" s="48">
        <f t="shared" si="40"/>
        <v>876209.82604027819</v>
      </c>
      <c r="K26" s="48">
        <f t="shared" si="2"/>
        <v>76366.718191336782</v>
      </c>
      <c r="L26" s="191">
        <v>71400000</v>
      </c>
      <c r="M26" s="48">
        <v>1.74E-4</v>
      </c>
      <c r="N26" s="49">
        <v>0.33300000000000002</v>
      </c>
      <c r="O26" s="49">
        <v>1</v>
      </c>
      <c r="P26" s="50">
        <v>2.1</v>
      </c>
      <c r="Q26" s="48">
        <f t="shared" si="41"/>
        <v>2616946.6804402978</v>
      </c>
      <c r="R26" s="48">
        <v>100000</v>
      </c>
      <c r="S26" s="48">
        <v>100000</v>
      </c>
      <c r="T26" s="155">
        <v>1000</v>
      </c>
      <c r="U26" s="48">
        <v>1000000</v>
      </c>
      <c r="V26" s="48">
        <v>60000</v>
      </c>
      <c r="W26" s="46">
        <v>20</v>
      </c>
      <c r="X26" s="46">
        <v>4</v>
      </c>
      <c r="Y26" s="48">
        <v>1.1E+43</v>
      </c>
      <c r="Z26" s="51">
        <v>50</v>
      </c>
      <c r="AA26" s="52" t="s">
        <v>38</v>
      </c>
      <c r="AB26" s="53">
        <f t="shared" si="4"/>
        <v>703876.3628687294</v>
      </c>
      <c r="AC26" s="189">
        <f t="shared" si="5"/>
        <v>9.7184351035573287E-5</v>
      </c>
      <c r="AD26" s="46" t="s">
        <v>243</v>
      </c>
      <c r="AE26" s="209"/>
      <c r="AF26" s="209"/>
    </row>
    <row r="27" spans="1:36">
      <c r="A27" s="170" t="s">
        <v>232</v>
      </c>
      <c r="B27" s="152" t="s">
        <v>263</v>
      </c>
      <c r="C27" s="175" t="s">
        <v>267</v>
      </c>
      <c r="E27" s="166" t="s">
        <v>225</v>
      </c>
      <c r="F27" s="193">
        <v>170</v>
      </c>
      <c r="G27" s="46">
        <f t="shared" si="6"/>
        <v>512</v>
      </c>
      <c r="H27" s="46">
        <f t="shared" si="36"/>
        <v>256</v>
      </c>
      <c r="I27" s="48">
        <f t="shared" si="39"/>
        <v>876209.82604027819</v>
      </c>
      <c r="J27" s="48">
        <f t="shared" si="40"/>
        <v>876209.82604027819</v>
      </c>
      <c r="K27" s="48">
        <f t="shared" si="2"/>
        <v>76366.718191336782</v>
      </c>
      <c r="L27" s="191">
        <v>71400000</v>
      </c>
      <c r="M27" s="48">
        <v>1.74E-4</v>
      </c>
      <c r="N27" s="49">
        <v>0.33300000000000002</v>
      </c>
      <c r="O27" s="49">
        <v>1</v>
      </c>
      <c r="P27" s="50">
        <v>2.1</v>
      </c>
      <c r="Q27" s="48">
        <f t="shared" si="41"/>
        <v>2616946.6804402978</v>
      </c>
      <c r="R27" s="48">
        <v>100000</v>
      </c>
      <c r="S27" s="48">
        <v>100000</v>
      </c>
      <c r="T27" s="48">
        <v>10000000</v>
      </c>
      <c r="U27" s="48">
        <v>1000000</v>
      </c>
      <c r="V27" s="48">
        <v>900000</v>
      </c>
      <c r="W27" s="46">
        <v>20</v>
      </c>
      <c r="X27" s="46">
        <v>4</v>
      </c>
      <c r="Y27" s="48">
        <v>1.1E+43</v>
      </c>
      <c r="Z27" s="51">
        <v>50</v>
      </c>
      <c r="AA27" s="52" t="s">
        <v>38</v>
      </c>
      <c r="AB27" s="53">
        <f t="shared" si="4"/>
        <v>2726101.4311796376</v>
      </c>
      <c r="AC27" s="189">
        <f t="shared" si="5"/>
        <v>1.4577652655335994E-3</v>
      </c>
      <c r="AD27" s="46" t="s">
        <v>238</v>
      </c>
      <c r="AE27" s="209"/>
      <c r="AF27" s="209"/>
    </row>
    <row r="28" spans="1:36">
      <c r="A28" s="170" t="s">
        <v>232</v>
      </c>
      <c r="B28" s="152" t="s">
        <v>263</v>
      </c>
      <c r="C28" s="175" t="s">
        <v>267</v>
      </c>
      <c r="E28" s="166" t="s">
        <v>226</v>
      </c>
      <c r="F28" s="193">
        <v>170</v>
      </c>
      <c r="G28" s="46">
        <f t="shared" si="6"/>
        <v>512</v>
      </c>
      <c r="H28" s="46">
        <f t="shared" ref="H28" si="42">G28/2</f>
        <v>256</v>
      </c>
      <c r="I28" s="48">
        <f t="shared" si="39"/>
        <v>876209.82604027819</v>
      </c>
      <c r="J28" s="48">
        <f t="shared" si="40"/>
        <v>876209.82604027819</v>
      </c>
      <c r="K28" s="48">
        <f t="shared" si="2"/>
        <v>76366.718191336782</v>
      </c>
      <c r="L28" s="191">
        <v>71400000</v>
      </c>
      <c r="M28" s="48">
        <v>1.74E-4</v>
      </c>
      <c r="N28" s="49">
        <v>0.33300000000000002</v>
      </c>
      <c r="O28" s="49">
        <v>0.5</v>
      </c>
      <c r="P28" s="50">
        <v>2.1</v>
      </c>
      <c r="Q28" s="48">
        <f t="shared" si="41"/>
        <v>2616946.6804402978</v>
      </c>
      <c r="R28" s="48">
        <v>100000</v>
      </c>
      <c r="S28" s="48">
        <v>100000</v>
      </c>
      <c r="T28" s="48">
        <v>10000000</v>
      </c>
      <c r="U28" s="48">
        <v>1000000</v>
      </c>
      <c r="V28" s="48">
        <v>900000</v>
      </c>
      <c r="W28" s="46">
        <v>20</v>
      </c>
      <c r="X28" s="46">
        <v>4</v>
      </c>
      <c r="Y28" s="48">
        <v>1.1E+43</v>
      </c>
      <c r="Z28" s="51">
        <v>50</v>
      </c>
      <c r="AA28" s="52" t="s">
        <v>38</v>
      </c>
      <c r="AB28" s="53">
        <f t="shared" si="4"/>
        <v>2726101.4311796376</v>
      </c>
      <c r="AC28" s="189">
        <f t="shared" si="5"/>
        <v>1.4577652655335994E-3</v>
      </c>
      <c r="AD28" s="46" t="s">
        <v>238</v>
      </c>
      <c r="AE28" s="209"/>
      <c r="AF28" s="209"/>
    </row>
    <row r="29" spans="1:36">
      <c r="A29" s="174" t="s">
        <v>232</v>
      </c>
      <c r="B29" s="152" t="s">
        <v>266</v>
      </c>
      <c r="C29" s="175" t="s">
        <v>267</v>
      </c>
      <c r="E29" s="166" t="s">
        <v>239</v>
      </c>
      <c r="F29" s="193">
        <v>170</v>
      </c>
      <c r="G29" s="46">
        <f t="shared" si="6"/>
        <v>512</v>
      </c>
      <c r="H29" s="46">
        <f t="shared" si="36"/>
        <v>256</v>
      </c>
      <c r="I29" s="48">
        <f t="shared" si="39"/>
        <v>876209.82604027819</v>
      </c>
      <c r="J29" s="48">
        <f t="shared" si="40"/>
        <v>876209.82604027819</v>
      </c>
      <c r="K29" s="48">
        <f t="shared" si="2"/>
        <v>76366.718191336782</v>
      </c>
      <c r="L29" s="191">
        <v>71400000</v>
      </c>
      <c r="M29" s="48">
        <v>1.74E-4</v>
      </c>
      <c r="N29" s="156" t="s">
        <v>146</v>
      </c>
      <c r="O29" s="49">
        <v>0</v>
      </c>
      <c r="P29" s="50">
        <v>2.1</v>
      </c>
      <c r="Q29" s="48">
        <f t="shared" si="41"/>
        <v>2616946.6804402978</v>
      </c>
      <c r="R29" s="48">
        <v>100000</v>
      </c>
      <c r="S29" s="48">
        <v>100000</v>
      </c>
      <c r="T29" s="48">
        <v>10000000</v>
      </c>
      <c r="U29" s="48">
        <v>1000000</v>
      </c>
      <c r="V29" s="48">
        <v>900000</v>
      </c>
      <c r="W29" s="46">
        <v>20</v>
      </c>
      <c r="X29" s="46">
        <v>4</v>
      </c>
      <c r="Y29" s="48">
        <v>1.1E+43</v>
      </c>
      <c r="Z29" s="51">
        <v>50</v>
      </c>
      <c r="AA29" s="52" t="s">
        <v>38</v>
      </c>
      <c r="AB29" s="53">
        <f t="shared" si="4"/>
        <v>2726101.4311796376</v>
      </c>
      <c r="AC29" s="189">
        <f t="shared" si="5"/>
        <v>1.4577652655335994E-3</v>
      </c>
      <c r="AD29" s="46" t="s">
        <v>238</v>
      </c>
      <c r="AE29" s="209"/>
      <c r="AF29" s="209"/>
    </row>
    <row r="30" spans="1:36">
      <c r="A30" s="46" t="s">
        <v>227</v>
      </c>
      <c r="B30" s="152" t="s">
        <v>256</v>
      </c>
      <c r="C30" s="175" t="s">
        <v>267</v>
      </c>
      <c r="D30" s="46" t="s">
        <v>288</v>
      </c>
      <c r="E30" s="166" t="s">
        <v>207</v>
      </c>
      <c r="F30" s="193">
        <v>170</v>
      </c>
      <c r="G30" s="46">
        <f t="shared" si="6"/>
        <v>512</v>
      </c>
      <c r="H30" s="46">
        <f t="shared" si="36"/>
        <v>256</v>
      </c>
      <c r="I30" s="48">
        <f t="shared" si="39"/>
        <v>876209.82604027819</v>
      </c>
      <c r="J30" s="48">
        <f t="shared" si="40"/>
        <v>876209.82604027819</v>
      </c>
      <c r="K30" s="48">
        <f t="shared" si="2"/>
        <v>76366.718191336782</v>
      </c>
      <c r="L30" s="191">
        <v>71400000</v>
      </c>
      <c r="M30" s="48">
        <v>1.74E-4</v>
      </c>
      <c r="N30" s="156" t="s">
        <v>146</v>
      </c>
      <c r="O30" s="49">
        <v>0</v>
      </c>
      <c r="P30" s="50">
        <v>2.1</v>
      </c>
      <c r="Q30" s="48">
        <f t="shared" si="41"/>
        <v>2616946.6804402978</v>
      </c>
      <c r="R30" s="48">
        <v>100000</v>
      </c>
      <c r="S30" s="48">
        <v>100000</v>
      </c>
      <c r="T30" s="46" t="s">
        <v>19</v>
      </c>
      <c r="U30" s="48">
        <v>1000000</v>
      </c>
      <c r="V30" s="48">
        <v>300000</v>
      </c>
      <c r="W30" s="46">
        <v>20</v>
      </c>
      <c r="X30" s="46">
        <v>4</v>
      </c>
      <c r="Y30" s="48">
        <v>1.0999999999999999E+41</v>
      </c>
      <c r="Z30" s="51">
        <v>50</v>
      </c>
      <c r="AA30" s="52" t="s">
        <v>38</v>
      </c>
      <c r="AB30" s="53">
        <f t="shared" si="4"/>
        <v>1573915.3951297877</v>
      </c>
      <c r="AC30" s="189">
        <f t="shared" si="5"/>
        <v>4.8592175517786637E-4</v>
      </c>
      <c r="AD30" s="46" t="s">
        <v>132</v>
      </c>
      <c r="AE30" s="209"/>
      <c r="AF30" s="209"/>
    </row>
    <row r="31" spans="1:36">
      <c r="A31" s="174" t="s">
        <v>232</v>
      </c>
      <c r="B31" s="152" t="s">
        <v>266</v>
      </c>
      <c r="C31" s="175" t="s">
        <v>267</v>
      </c>
      <c r="D31" s="46" t="s">
        <v>287</v>
      </c>
      <c r="E31" s="166" t="s">
        <v>240</v>
      </c>
      <c r="F31" s="193">
        <v>170</v>
      </c>
      <c r="G31" s="46">
        <f t="shared" si="6"/>
        <v>512</v>
      </c>
      <c r="H31" s="46">
        <f t="shared" ref="H31" si="43">G31/2</f>
        <v>256</v>
      </c>
      <c r="I31" s="48">
        <f t="shared" si="39"/>
        <v>876209.82604027819</v>
      </c>
      <c r="J31" s="48">
        <f t="shared" si="40"/>
        <v>876209.82604027819</v>
      </c>
      <c r="K31" s="48">
        <f t="shared" si="2"/>
        <v>76366.718191336782</v>
      </c>
      <c r="L31" s="191">
        <v>71400000</v>
      </c>
      <c r="M31" s="48">
        <v>1.74E-4</v>
      </c>
      <c r="N31" s="156" t="s">
        <v>241</v>
      </c>
      <c r="O31" s="49">
        <v>0.5</v>
      </c>
      <c r="P31" s="50">
        <v>2.1</v>
      </c>
      <c r="Q31" s="48">
        <f t="shared" si="41"/>
        <v>2616946.6804402978</v>
      </c>
      <c r="R31" s="48">
        <v>100000</v>
      </c>
      <c r="S31" s="48">
        <v>100000</v>
      </c>
      <c r="T31" s="46" t="s">
        <v>19</v>
      </c>
      <c r="U31" s="48">
        <v>1000000</v>
      </c>
      <c r="V31" s="48">
        <v>300000</v>
      </c>
      <c r="W31" s="46">
        <v>20</v>
      </c>
      <c r="X31" s="46">
        <v>4</v>
      </c>
      <c r="Y31" s="48">
        <v>1.0999999999999999E+41</v>
      </c>
      <c r="Z31" s="51">
        <v>50</v>
      </c>
      <c r="AA31" s="52" t="s">
        <v>38</v>
      </c>
      <c r="AB31" s="53">
        <f t="shared" si="4"/>
        <v>1573915.3951297877</v>
      </c>
      <c r="AC31" s="189">
        <f t="shared" si="5"/>
        <v>4.8592175517786637E-4</v>
      </c>
      <c r="AD31" s="46" t="s">
        <v>132</v>
      </c>
      <c r="AE31" s="209"/>
      <c r="AF31" s="209"/>
    </row>
    <row r="34" spans="4:36">
      <c r="E34" s="152"/>
    </row>
    <row r="36" spans="4:36" ht="30">
      <c r="E36" s="158" t="s">
        <v>245</v>
      </c>
      <c r="F36" s="158"/>
    </row>
    <row r="37" spans="4:36" ht="56.25">
      <c r="F37" s="193" t="s">
        <v>291</v>
      </c>
      <c r="G37" s="46" t="s">
        <v>292</v>
      </c>
      <c r="H37" s="46" t="s">
        <v>293</v>
      </c>
      <c r="I37" s="46" t="s">
        <v>294</v>
      </c>
      <c r="J37" s="46" t="s">
        <v>295</v>
      </c>
      <c r="K37" s="196" t="s">
        <v>296</v>
      </c>
      <c r="L37" s="197" t="s">
        <v>297</v>
      </c>
      <c r="M37" s="196" t="s">
        <v>299</v>
      </c>
      <c r="N37" s="49" t="s">
        <v>298</v>
      </c>
      <c r="O37" s="49" t="s">
        <v>300</v>
      </c>
      <c r="P37" s="46" t="s">
        <v>301</v>
      </c>
      <c r="Q37" s="46" t="s">
        <v>302</v>
      </c>
      <c r="R37" s="46" t="s">
        <v>303</v>
      </c>
      <c r="S37" s="46" t="s">
        <v>303</v>
      </c>
      <c r="T37" s="46" t="s">
        <v>305</v>
      </c>
      <c r="U37" s="46" t="s">
        <v>304</v>
      </c>
      <c r="V37" s="46" t="s">
        <v>306</v>
      </c>
      <c r="W37" s="46" t="s">
        <v>307</v>
      </c>
      <c r="X37" s="46" t="s">
        <v>308</v>
      </c>
      <c r="Y37" s="46" t="s">
        <v>309</v>
      </c>
      <c r="Z37" s="51" t="s">
        <v>310</v>
      </c>
      <c r="AA37" s="52" t="s">
        <v>311</v>
      </c>
      <c r="AB37" s="53" t="s">
        <v>312</v>
      </c>
      <c r="AC37" s="189" t="s">
        <v>313</v>
      </c>
      <c r="AD37" s="46" t="s">
        <v>314</v>
      </c>
      <c r="AE37" s="46" t="s">
        <v>315</v>
      </c>
      <c r="AF37" s="46" t="s">
        <v>316</v>
      </c>
      <c r="AG37" s="46" t="s">
        <v>317</v>
      </c>
      <c r="AH37" s="167" t="s">
        <v>325</v>
      </c>
      <c r="AI37" s="46" t="s">
        <v>326</v>
      </c>
    </row>
    <row r="38" spans="4:36">
      <c r="E38" s="212" t="s">
        <v>246</v>
      </c>
      <c r="F38" s="212"/>
      <c r="G38" s="212"/>
      <c r="H38" s="212"/>
      <c r="I38" s="212"/>
      <c r="J38" s="212"/>
      <c r="K38" s="212"/>
      <c r="L38" s="212"/>
      <c r="M38" s="212"/>
      <c r="N38" s="212"/>
    </row>
    <row r="39" spans="4:36">
      <c r="E39" s="212" t="s">
        <v>247</v>
      </c>
      <c r="F39" s="212"/>
      <c r="G39" s="212"/>
      <c r="H39" s="212"/>
      <c r="I39" s="212"/>
      <c r="J39" s="212"/>
      <c r="K39" s="212"/>
      <c r="L39" s="212"/>
      <c r="M39" s="212"/>
      <c r="N39" s="212"/>
    </row>
    <row r="40" spans="4:36">
      <c r="D40" s="46" t="s">
        <v>269</v>
      </c>
      <c r="E40" s="46" t="s">
        <v>220</v>
      </c>
      <c r="F40" s="193" t="s">
        <v>275</v>
      </c>
      <c r="G40" s="46" t="s">
        <v>203</v>
      </c>
      <c r="H40" s="46">
        <v>170</v>
      </c>
      <c r="I40" s="46">
        <f>H40*3+2</f>
        <v>512</v>
      </c>
      <c r="J40" s="46">
        <f t="shared" ref="J40:J44" si="44">I40/2</f>
        <v>256</v>
      </c>
      <c r="K40" s="48">
        <f>2*PI()*N40/I40</f>
        <v>876209.82604027819</v>
      </c>
      <c r="L40" s="191">
        <f>PI()*N40/J40</f>
        <v>876209.82604027819</v>
      </c>
      <c r="M40" s="48">
        <f>COS(85*PI()/180)*N40*2*PI()/I40</f>
        <v>76366.718191336782</v>
      </c>
      <c r="N40" s="48">
        <v>71400000</v>
      </c>
      <c r="O40" s="48">
        <v>1.74E-4</v>
      </c>
      <c r="P40" s="49">
        <v>0.33300000000000002</v>
      </c>
      <c r="Q40" s="49">
        <v>1</v>
      </c>
      <c r="R40" s="50">
        <v>2.1</v>
      </c>
      <c r="S40" s="48">
        <f>2*PI()*N40*(R40/360)</f>
        <v>2616946.6804402978</v>
      </c>
      <c r="T40" s="48">
        <v>100000</v>
      </c>
      <c r="U40" s="48">
        <v>100000</v>
      </c>
      <c r="V40" s="46" t="s">
        <v>19</v>
      </c>
      <c r="W40" s="48">
        <v>1000000</v>
      </c>
      <c r="X40" s="162">
        <v>60000</v>
      </c>
      <c r="Y40" s="75">
        <v>20</v>
      </c>
      <c r="Z40" s="46">
        <v>4</v>
      </c>
      <c r="AA40" s="48">
        <v>1.1E+43</v>
      </c>
      <c r="AB40" s="51">
        <v>50</v>
      </c>
      <c r="AC40" s="189" t="s">
        <v>38</v>
      </c>
      <c r="AD40" s="53">
        <f>SQRT(X40)/(2*O40)</f>
        <v>703876.3628687294</v>
      </c>
      <c r="AE40" s="159">
        <f>(AD40/N40)^2</f>
        <v>9.7184351035573287E-5</v>
      </c>
      <c r="AF40" s="46" t="s">
        <v>243</v>
      </c>
      <c r="AG40" s="195"/>
      <c r="AH40" s="167">
        <v>220</v>
      </c>
      <c r="AI40" s="208">
        <f>AH40^2/AD40</f>
        <v>6.8762076059409372E-2</v>
      </c>
      <c r="AJ40" s="46">
        <f>100^2/(5*10^4)</f>
        <v>0.2</v>
      </c>
    </row>
    <row r="41" spans="4:36">
      <c r="D41" s="46" t="s">
        <v>269</v>
      </c>
      <c r="E41" s="46" t="s">
        <v>236</v>
      </c>
      <c r="F41" s="193" t="s">
        <v>276</v>
      </c>
      <c r="G41" s="46" t="s">
        <v>214</v>
      </c>
      <c r="H41" s="46">
        <v>170</v>
      </c>
      <c r="I41" s="46">
        <f>H41*3+2</f>
        <v>512</v>
      </c>
      <c r="J41" s="46">
        <f t="shared" si="44"/>
        <v>256</v>
      </c>
      <c r="K41" s="48">
        <f>2*PI()*N41/I41</f>
        <v>876209.82604027819</v>
      </c>
      <c r="L41" s="191">
        <f>PI()*N41/J41</f>
        <v>876209.82604027819</v>
      </c>
      <c r="M41" s="48">
        <f>COS(85*PI()/180)*N41*2*PI()/I41</f>
        <v>76366.718191336782</v>
      </c>
      <c r="N41" s="48">
        <v>71400000</v>
      </c>
      <c r="O41" s="48">
        <v>1.74E-4</v>
      </c>
      <c r="P41" s="49">
        <v>0.33300000000000002</v>
      </c>
      <c r="Q41" s="49">
        <v>1</v>
      </c>
      <c r="R41" s="50">
        <v>2.1</v>
      </c>
      <c r="S41" s="48">
        <f>2*PI()*N41*(R41/360)</f>
        <v>2616946.6804402978</v>
      </c>
      <c r="T41" s="48">
        <v>100000</v>
      </c>
      <c r="U41" s="48">
        <v>100000</v>
      </c>
      <c r="V41" s="46" t="s">
        <v>19</v>
      </c>
      <c r="W41" s="48">
        <v>1000000</v>
      </c>
      <c r="X41" s="162">
        <v>300000</v>
      </c>
      <c r="Y41" s="46">
        <v>20</v>
      </c>
      <c r="Z41" s="46">
        <v>4</v>
      </c>
      <c r="AA41" s="48">
        <v>1.0999999999999999E+41</v>
      </c>
      <c r="AB41" s="51">
        <v>50</v>
      </c>
      <c r="AC41" s="189" t="s">
        <v>38</v>
      </c>
      <c r="AD41" s="53">
        <f>SQRT(X41)/(2*O41)</f>
        <v>1573915.3951297877</v>
      </c>
      <c r="AE41" s="159">
        <f>(AD41/N41)^2</f>
        <v>4.8592175517786637E-4</v>
      </c>
      <c r="AF41" s="46" t="s">
        <v>132</v>
      </c>
      <c r="AH41" s="167">
        <v>120</v>
      </c>
      <c r="AI41" s="208">
        <f t="shared" ref="AI41:AI43" si="45">AH41^2/AD41</f>
        <v>9.1491576005662944E-3</v>
      </c>
    </row>
    <row r="42" spans="4:36">
      <c r="D42" s="46" t="s">
        <v>267</v>
      </c>
      <c r="E42" s="46" t="s">
        <v>237</v>
      </c>
      <c r="F42" s="193" t="s">
        <v>277</v>
      </c>
      <c r="G42" s="46" t="s">
        <v>215</v>
      </c>
      <c r="H42" s="46">
        <v>170</v>
      </c>
      <c r="I42" s="46">
        <f>H42*3+2</f>
        <v>512</v>
      </c>
      <c r="J42" s="46">
        <f t="shared" si="44"/>
        <v>256</v>
      </c>
      <c r="K42" s="48">
        <f>2*PI()*N42/I42</f>
        <v>876209.82604027819</v>
      </c>
      <c r="L42" s="191">
        <f>PI()*N42/J42</f>
        <v>876209.82604027819</v>
      </c>
      <c r="M42" s="48">
        <f>COS(85*PI()/180)*N42*2*PI()/I42</f>
        <v>76366.718191336782</v>
      </c>
      <c r="N42" s="48">
        <v>71400000</v>
      </c>
      <c r="O42" s="48">
        <v>1.74E-4</v>
      </c>
      <c r="P42" s="49">
        <v>0.33300000000000002</v>
      </c>
      <c r="Q42" s="49">
        <v>1</v>
      </c>
      <c r="R42" s="50">
        <v>2.1</v>
      </c>
      <c r="S42" s="48">
        <f>2*PI()*N42*(R42/360)</f>
        <v>2616946.6804402978</v>
      </c>
      <c r="T42" s="48">
        <v>100000</v>
      </c>
      <c r="U42" s="48">
        <v>100000</v>
      </c>
      <c r="V42" s="46" t="s">
        <v>19</v>
      </c>
      <c r="W42" s="48">
        <v>1000000</v>
      </c>
      <c r="X42" s="162">
        <v>900000</v>
      </c>
      <c r="Y42" s="46">
        <v>20</v>
      </c>
      <c r="Z42" s="46">
        <v>4</v>
      </c>
      <c r="AA42" s="48">
        <v>1.0999999999999999E+41</v>
      </c>
      <c r="AB42" s="51">
        <v>50</v>
      </c>
      <c r="AC42" s="189" t="s">
        <v>38</v>
      </c>
      <c r="AD42" s="53">
        <f>SQRT(X42)/(2*O42)</f>
        <v>2726101.4311796376</v>
      </c>
      <c r="AE42" s="159">
        <f>(AD42/N42)^2</f>
        <v>1.4577652655335994E-3</v>
      </c>
      <c r="AF42" s="46" t="s">
        <v>238</v>
      </c>
      <c r="AH42" s="167">
        <v>100</v>
      </c>
      <c r="AI42" s="208">
        <f t="shared" si="45"/>
        <v>3.6682420857953196E-3</v>
      </c>
    </row>
    <row r="43" spans="4:36" s="198" customFormat="1">
      <c r="D43" s="198" t="s">
        <v>267</v>
      </c>
      <c r="E43" s="198" t="s">
        <v>237</v>
      </c>
      <c r="F43" s="198" t="s">
        <v>110</v>
      </c>
      <c r="G43" s="198" t="s">
        <v>264</v>
      </c>
      <c r="H43" s="198">
        <v>170</v>
      </c>
      <c r="I43" s="198">
        <f>H43*3+2</f>
        <v>512</v>
      </c>
      <c r="J43" s="198">
        <f t="shared" ref="J43" si="46">I43/2</f>
        <v>256</v>
      </c>
      <c r="K43" s="200">
        <f>2*PI()*N43/I43</f>
        <v>876209.82604027819</v>
      </c>
      <c r="L43" s="201">
        <f>PI()*N43/J43</f>
        <v>876209.82604027819</v>
      </c>
      <c r="M43" s="200">
        <f>COS(85*PI()/180)*N43*2*PI()/I43</f>
        <v>76366.718191336782</v>
      </c>
      <c r="N43" s="200">
        <v>71400000</v>
      </c>
      <c r="O43" s="200">
        <v>1.74E-4</v>
      </c>
      <c r="P43" s="202">
        <v>0.33300000000000002</v>
      </c>
      <c r="Q43" s="202">
        <v>1</v>
      </c>
      <c r="R43" s="50">
        <v>2.1</v>
      </c>
      <c r="S43" s="200">
        <f>2*PI()*N43*(R43/360)</f>
        <v>2616946.6804402978</v>
      </c>
      <c r="T43" s="200">
        <v>100000</v>
      </c>
      <c r="U43" s="200">
        <v>100000</v>
      </c>
      <c r="V43" s="198" t="s">
        <v>19</v>
      </c>
      <c r="W43" s="200">
        <v>1000000</v>
      </c>
      <c r="X43" s="162">
        <v>2740000</v>
      </c>
      <c r="Y43" s="198">
        <v>20</v>
      </c>
      <c r="Z43" s="198">
        <v>4</v>
      </c>
      <c r="AA43" s="200">
        <v>1.0999999999999999E+41</v>
      </c>
      <c r="AB43" s="51">
        <v>50</v>
      </c>
      <c r="AC43" s="189" t="s">
        <v>38</v>
      </c>
      <c r="AD43" s="53">
        <f>SQRT(X43)/(2*O43)</f>
        <v>4756593.4934617383</v>
      </c>
      <c r="AE43" s="159">
        <f>(AD43/N43)^2</f>
        <v>4.4380853639578461E-3</v>
      </c>
      <c r="AF43" s="198" t="s">
        <v>244</v>
      </c>
      <c r="AH43" s="198">
        <v>10</v>
      </c>
      <c r="AI43" s="208">
        <f t="shared" si="45"/>
        <v>2.1023448847890155E-5</v>
      </c>
    </row>
    <row r="44" spans="4:36">
      <c r="D44" s="46" t="s">
        <v>267</v>
      </c>
      <c r="E44" s="46" t="s">
        <v>232</v>
      </c>
      <c r="F44" s="193" t="s">
        <v>116</v>
      </c>
      <c r="G44" s="46" t="s">
        <v>242</v>
      </c>
      <c r="H44" s="46">
        <v>170</v>
      </c>
      <c r="I44" s="46">
        <f>H44*3+2</f>
        <v>512</v>
      </c>
      <c r="J44" s="46">
        <f t="shared" si="44"/>
        <v>256</v>
      </c>
      <c r="K44" s="48">
        <f>2*PI()*N44/I44</f>
        <v>876209.82604027819</v>
      </c>
      <c r="L44" s="191">
        <f>PI()*N44/J44</f>
        <v>876209.82604027819</v>
      </c>
      <c r="M44" s="48">
        <f>COS(85*PI()/180)*N44*2*PI()/I44</f>
        <v>76366.718191336782</v>
      </c>
      <c r="N44" s="48">
        <v>71400000</v>
      </c>
      <c r="O44" s="48">
        <v>1.74E-4</v>
      </c>
      <c r="P44" s="49">
        <v>0.33300000000000002</v>
      </c>
      <c r="Q44" s="49">
        <v>1</v>
      </c>
      <c r="R44" s="50">
        <v>2.1</v>
      </c>
      <c r="S44" s="48">
        <f>2*PI()*N44*(R44/360)</f>
        <v>2616946.6804402978</v>
      </c>
      <c r="T44" s="48">
        <v>100000</v>
      </c>
      <c r="U44" s="48">
        <v>100000</v>
      </c>
      <c r="V44" s="46" t="s">
        <v>19</v>
      </c>
      <c r="W44" s="48">
        <v>1000000</v>
      </c>
      <c r="X44" s="162">
        <v>6200000</v>
      </c>
      <c r="Y44" s="46">
        <v>20</v>
      </c>
      <c r="Z44" s="46">
        <v>4</v>
      </c>
      <c r="AA44" s="48">
        <v>1.0999999999999999E+41</v>
      </c>
      <c r="AB44" s="51">
        <v>50</v>
      </c>
      <c r="AC44" s="189" t="s">
        <v>38</v>
      </c>
      <c r="AD44" s="53">
        <f>SQRT(X44)/(2*O44)</f>
        <v>7155114.7114877775</v>
      </c>
      <c r="AE44" s="159">
        <f>(AD44/N44)^2</f>
        <v>1.0042382940342574E-2</v>
      </c>
      <c r="AF44" s="46" t="s">
        <v>244</v>
      </c>
    </row>
    <row r="45" spans="4:36">
      <c r="E45" s="212" t="s">
        <v>248</v>
      </c>
      <c r="F45" s="212"/>
      <c r="G45" s="212"/>
      <c r="H45" s="212"/>
      <c r="I45" s="212"/>
      <c r="J45" s="212"/>
      <c r="K45" s="212"/>
      <c r="L45" s="212"/>
      <c r="M45" s="212"/>
      <c r="N45" s="212"/>
    </row>
    <row r="46" spans="4:36">
      <c r="D46" s="46" t="s">
        <v>267</v>
      </c>
      <c r="E46" s="46" t="s">
        <v>234</v>
      </c>
      <c r="G46" s="46" t="s">
        <v>218</v>
      </c>
      <c r="H46" s="46">
        <v>170</v>
      </c>
      <c r="I46" s="46">
        <f>H46*3+2</f>
        <v>512</v>
      </c>
      <c r="J46" s="46">
        <f t="shared" ref="J46" si="47">I46/2</f>
        <v>256</v>
      </c>
      <c r="K46" s="48">
        <f>2*PI()*N46/I46</f>
        <v>876209.82604027819</v>
      </c>
      <c r="L46" s="191">
        <f>PI()*N46/J46</f>
        <v>876209.82604027819</v>
      </c>
      <c r="M46" s="48">
        <f>COS(85*PI()/180)*N46*2*PI()/I46</f>
        <v>76366.718191336782</v>
      </c>
      <c r="N46" s="48">
        <v>71400000</v>
      </c>
      <c r="O46" s="48">
        <v>1.74E-4</v>
      </c>
      <c r="P46" s="49">
        <v>0.33300000000000002</v>
      </c>
      <c r="Q46" s="49">
        <v>1</v>
      </c>
      <c r="R46" s="50">
        <v>2.1</v>
      </c>
      <c r="S46" s="48">
        <f>2*PI()*N46*(R46/360)</f>
        <v>2616946.6804402978</v>
      </c>
      <c r="T46" s="48">
        <v>100000</v>
      </c>
      <c r="U46" s="48">
        <v>100000</v>
      </c>
      <c r="V46" s="48">
        <v>10000000</v>
      </c>
      <c r="W46" s="48">
        <v>1000000</v>
      </c>
      <c r="X46" s="162">
        <v>60000</v>
      </c>
      <c r="Y46" s="46">
        <v>20</v>
      </c>
      <c r="Z46" s="46">
        <v>4</v>
      </c>
      <c r="AA46" s="48">
        <v>1.1E+43</v>
      </c>
      <c r="AB46" s="51">
        <v>50</v>
      </c>
      <c r="AC46" s="189" t="s">
        <v>38</v>
      </c>
      <c r="AD46" s="53">
        <f>SQRT(X46)/(2*O46)</f>
        <v>703876.3628687294</v>
      </c>
      <c r="AE46" s="159">
        <f>(AD46/N46)^2</f>
        <v>9.7184351035573287E-5</v>
      </c>
      <c r="AF46" s="46" t="s">
        <v>243</v>
      </c>
      <c r="AG46" s="195">
        <f>PI()^2*T46^2*S46^2*P46^2*V46/(4*U46)</f>
        <v>1.8737772823903532E+24</v>
      </c>
    </row>
    <row r="47" spans="4:36">
      <c r="D47" s="46" t="s">
        <v>267</v>
      </c>
      <c r="E47" s="174" t="s">
        <v>232</v>
      </c>
      <c r="G47" s="46" t="s">
        <v>254</v>
      </c>
      <c r="H47" s="46">
        <v>170</v>
      </c>
      <c r="I47" s="46">
        <f>H47*3+2</f>
        <v>512</v>
      </c>
      <c r="J47" s="46">
        <f t="shared" ref="J47" si="48">I47/2</f>
        <v>256</v>
      </c>
      <c r="K47" s="48">
        <f>2*PI()*N47/I47</f>
        <v>876209.82604027819</v>
      </c>
      <c r="L47" s="191">
        <f>PI()*N47/J47</f>
        <v>876209.82604027819</v>
      </c>
      <c r="M47" s="48">
        <f>COS(85*PI()/180)*N47*2*PI()/I47</f>
        <v>76366.718191336782</v>
      </c>
      <c r="N47" s="48">
        <v>71400000</v>
      </c>
      <c r="O47" s="48">
        <v>1.74E-4</v>
      </c>
      <c r="P47" s="49">
        <v>0.33300000000000002</v>
      </c>
      <c r="Q47" s="49">
        <v>1</v>
      </c>
      <c r="R47" s="50">
        <v>2.1</v>
      </c>
      <c r="S47" s="48">
        <f>2*PI()*N47*(R47/360)</f>
        <v>2616946.6804402978</v>
      </c>
      <c r="T47" s="48">
        <v>100000</v>
      </c>
      <c r="U47" s="48">
        <v>100000</v>
      </c>
      <c r="V47" s="48">
        <v>10000000</v>
      </c>
      <c r="W47" s="48">
        <v>1000000</v>
      </c>
      <c r="X47" s="162">
        <v>300000</v>
      </c>
      <c r="Y47" s="46">
        <v>20</v>
      </c>
      <c r="Z47" s="46">
        <v>4</v>
      </c>
      <c r="AA47" s="48">
        <v>1.1E+43</v>
      </c>
      <c r="AB47" s="51">
        <v>50</v>
      </c>
      <c r="AC47" s="189" t="s">
        <v>38</v>
      </c>
      <c r="AD47" s="53">
        <f>SQRT(X47)/(2*O47)</f>
        <v>1573915.3951297877</v>
      </c>
      <c r="AE47" s="159">
        <f>(AD47/N47)^2</f>
        <v>4.8592175517786637E-4</v>
      </c>
      <c r="AF47" s="46" t="s">
        <v>132</v>
      </c>
      <c r="AG47" s="195">
        <f t="shared" ref="AG47:AG72" si="49">PI()^2*T47^2*S47^2*P47^2*V47/(4*U47)</f>
        <v>1.8737772823903532E+24</v>
      </c>
    </row>
    <row r="48" spans="4:36">
      <c r="D48" s="46" t="s">
        <v>267</v>
      </c>
      <c r="E48" s="170" t="s">
        <v>232</v>
      </c>
      <c r="G48" s="46" t="s">
        <v>225</v>
      </c>
      <c r="H48" s="46">
        <v>170</v>
      </c>
      <c r="I48" s="46">
        <f>H48*3+2</f>
        <v>512</v>
      </c>
      <c r="J48" s="46">
        <f t="shared" ref="J48:J49" si="50">I48/2</f>
        <v>256</v>
      </c>
      <c r="K48" s="48">
        <f>2*PI()*N48/I48</f>
        <v>876209.82604027819</v>
      </c>
      <c r="L48" s="191">
        <f>PI()*N48/J48</f>
        <v>876209.82604027819</v>
      </c>
      <c r="M48" s="48">
        <f>COS(85*PI()/180)*N48*2*PI()/I48</f>
        <v>76366.718191336782</v>
      </c>
      <c r="N48" s="48">
        <v>71400000</v>
      </c>
      <c r="O48" s="48">
        <v>1.74E-4</v>
      </c>
      <c r="P48" s="49">
        <v>0.33300000000000002</v>
      </c>
      <c r="Q48" s="49">
        <v>1</v>
      </c>
      <c r="R48" s="50">
        <v>2.1</v>
      </c>
      <c r="S48" s="48">
        <f>2*PI()*N48*(R48/360)</f>
        <v>2616946.6804402978</v>
      </c>
      <c r="T48" s="48">
        <v>100000</v>
      </c>
      <c r="U48" s="48">
        <v>100000</v>
      </c>
      <c r="V48" s="48">
        <v>10000000</v>
      </c>
      <c r="W48" s="48">
        <v>1000000</v>
      </c>
      <c r="X48" s="162">
        <v>900000</v>
      </c>
      <c r="Y48" s="46">
        <v>20</v>
      </c>
      <c r="Z48" s="46">
        <v>4</v>
      </c>
      <c r="AA48" s="48">
        <v>1.1E+43</v>
      </c>
      <c r="AB48" s="51">
        <v>50</v>
      </c>
      <c r="AC48" s="189" t="s">
        <v>38</v>
      </c>
      <c r="AD48" s="53">
        <f>SQRT(X48)/(2*O48)</f>
        <v>2726101.4311796376</v>
      </c>
      <c r="AE48" s="159">
        <f>(AD48/N48)^2</f>
        <v>1.4577652655335994E-3</v>
      </c>
      <c r="AF48" s="46" t="s">
        <v>238</v>
      </c>
      <c r="AG48" s="195">
        <f t="shared" si="49"/>
        <v>1.8737772823903532E+24</v>
      </c>
    </row>
    <row r="49" spans="4:33">
      <c r="D49" s="46" t="s">
        <v>267</v>
      </c>
      <c r="E49" s="174" t="s">
        <v>232</v>
      </c>
      <c r="G49" s="46" t="s">
        <v>261</v>
      </c>
      <c r="H49" s="46">
        <v>170</v>
      </c>
      <c r="I49" s="46">
        <f>H49*3+2</f>
        <v>512</v>
      </c>
      <c r="J49" s="46">
        <f t="shared" si="50"/>
        <v>256</v>
      </c>
      <c r="K49" s="48">
        <f>2*PI()*N49/I49</f>
        <v>876209.82604027819</v>
      </c>
      <c r="L49" s="191">
        <f>PI()*N49/J49</f>
        <v>876209.82604027819</v>
      </c>
      <c r="M49" s="48">
        <f>COS(85*PI()/180)*N49*2*PI()/I49</f>
        <v>76366.718191336782</v>
      </c>
      <c r="N49" s="48">
        <v>71400000</v>
      </c>
      <c r="O49" s="48">
        <v>1.74E-4</v>
      </c>
      <c r="P49" s="49">
        <v>0.33300000000000002</v>
      </c>
      <c r="Q49" s="49">
        <v>1</v>
      </c>
      <c r="R49" s="50">
        <v>2.1</v>
      </c>
      <c r="S49" s="48">
        <f>2*PI()*N49*(R49/360)</f>
        <v>2616946.6804402978</v>
      </c>
      <c r="T49" s="48">
        <v>100000</v>
      </c>
      <c r="U49" s="48">
        <v>100000</v>
      </c>
      <c r="V49" s="48">
        <v>10000000</v>
      </c>
      <c r="W49" s="48">
        <v>1000000</v>
      </c>
      <c r="X49" s="162">
        <v>6200000</v>
      </c>
      <c r="Y49" s="46">
        <v>20</v>
      </c>
      <c r="Z49" s="46">
        <v>4</v>
      </c>
      <c r="AA49" s="48">
        <v>1.1E+43</v>
      </c>
      <c r="AB49" s="51">
        <v>50</v>
      </c>
      <c r="AC49" s="189" t="s">
        <v>38</v>
      </c>
      <c r="AD49" s="53">
        <f>SQRT(X49)/(2*O49)</f>
        <v>7155114.7114877775</v>
      </c>
      <c r="AE49" s="159">
        <f>(AD49/N49)^2</f>
        <v>1.0042382940342574E-2</v>
      </c>
      <c r="AF49" s="46" t="s">
        <v>244</v>
      </c>
      <c r="AG49" s="195">
        <f t="shared" si="49"/>
        <v>1.8737772823903532E+24</v>
      </c>
    </row>
    <row r="50" spans="4:33" s="198" customFormat="1">
      <c r="E50" s="212" t="s">
        <v>318</v>
      </c>
      <c r="F50" s="212"/>
      <c r="G50" s="212"/>
      <c r="H50" s="212"/>
      <c r="I50" s="212"/>
      <c r="J50" s="212"/>
      <c r="K50" s="212"/>
      <c r="L50" s="212"/>
      <c r="M50" s="212"/>
      <c r="N50" s="212"/>
      <c r="O50" s="202"/>
      <c r="Z50" s="51"/>
      <c r="AA50" s="52"/>
      <c r="AB50" s="53"/>
      <c r="AC50" s="189"/>
    </row>
    <row r="51" spans="4:33" s="198" customFormat="1">
      <c r="D51" s="198" t="s">
        <v>267</v>
      </c>
      <c r="E51" s="198" t="s">
        <v>232</v>
      </c>
      <c r="F51" s="198" t="s">
        <v>321</v>
      </c>
      <c r="G51" s="198" t="s">
        <v>271</v>
      </c>
      <c r="H51" s="198">
        <v>170</v>
      </c>
      <c r="I51" s="198">
        <f>H51*3+2</f>
        <v>512</v>
      </c>
      <c r="J51" s="198">
        <f t="shared" ref="J51:J55" si="51">I51/2</f>
        <v>256</v>
      </c>
      <c r="K51" s="200">
        <f>2*PI()*N51/I51</f>
        <v>3393656.3766551618</v>
      </c>
      <c r="L51" s="201">
        <f>PI()*N51/J51</f>
        <v>3393656.3766551618</v>
      </c>
      <c r="M51" s="200">
        <f>COS(85*PI()/180)*N51*2*PI()/I51</f>
        <v>295776.64213770692</v>
      </c>
      <c r="N51" s="207">
        <v>276540000</v>
      </c>
      <c r="O51" s="200">
        <v>1.74E-4</v>
      </c>
      <c r="P51" s="202">
        <v>0.33300000000000002</v>
      </c>
      <c r="Q51" s="202">
        <v>1</v>
      </c>
      <c r="R51" s="50">
        <v>2.1</v>
      </c>
      <c r="S51" s="200">
        <f>2*PI()*N51*(R51/360)</f>
        <v>10135720.37827675</v>
      </c>
      <c r="T51" s="200">
        <v>100000</v>
      </c>
      <c r="U51" s="200">
        <v>100000</v>
      </c>
      <c r="V51" s="198" t="s">
        <v>19</v>
      </c>
      <c r="W51" s="200">
        <v>1000000</v>
      </c>
      <c r="X51" s="200">
        <v>900000</v>
      </c>
      <c r="Y51" s="198">
        <v>20</v>
      </c>
      <c r="Z51" s="198">
        <v>4</v>
      </c>
      <c r="AA51" s="200">
        <v>1.0999999999999999E+41</v>
      </c>
      <c r="AB51" s="51">
        <v>50</v>
      </c>
      <c r="AC51" s="189" t="s">
        <v>38</v>
      </c>
      <c r="AD51" s="53">
        <f>SQRT(X51)/(2*O51)</f>
        <v>2726101.4311796376</v>
      </c>
      <c r="AE51" s="159">
        <f>(AD51/N51)^2</f>
        <v>9.7178033079511688E-5</v>
      </c>
      <c r="AF51" s="198" t="s">
        <v>243</v>
      </c>
      <c r="AG51" s="200" t="e">
        <f>PI()^2*T51^2*S51^2*P51^2*V51/(4*U51)</f>
        <v>#VALUE!</v>
      </c>
    </row>
    <row r="52" spans="4:33" s="198" customFormat="1">
      <c r="D52" s="198" t="s">
        <v>267</v>
      </c>
      <c r="E52" s="198" t="s">
        <v>232</v>
      </c>
      <c r="F52" s="198" t="s">
        <v>322</v>
      </c>
      <c r="G52" s="198" t="s">
        <v>272</v>
      </c>
      <c r="H52" s="198">
        <v>170</v>
      </c>
      <c r="I52" s="198">
        <f>H52*3+2</f>
        <v>512</v>
      </c>
      <c r="J52" s="198">
        <f t="shared" si="51"/>
        <v>256</v>
      </c>
      <c r="K52" s="200">
        <f>2*PI()*N52/I52</f>
        <v>1517659.2323025379</v>
      </c>
      <c r="L52" s="201">
        <f>PI()*N52/J52</f>
        <v>1517659.2323025379</v>
      </c>
      <c r="M52" s="200">
        <f>COS(85*PI()/180)*N52*2*PI()/I52</f>
        <v>132272.71762916836</v>
      </c>
      <c r="N52" s="207">
        <v>123670000</v>
      </c>
      <c r="O52" s="200">
        <v>1.74E-4</v>
      </c>
      <c r="P52" s="202">
        <v>0.33300000000000002</v>
      </c>
      <c r="Q52" s="202">
        <v>1</v>
      </c>
      <c r="R52" s="50">
        <v>2.1</v>
      </c>
      <c r="S52" s="200">
        <f>2*PI()*N52*(R52/360)</f>
        <v>4532742.2404769138</v>
      </c>
      <c r="T52" s="200">
        <v>100000</v>
      </c>
      <c r="U52" s="200">
        <v>100000</v>
      </c>
      <c r="V52" s="198" t="s">
        <v>19</v>
      </c>
      <c r="W52" s="200">
        <v>1000000</v>
      </c>
      <c r="X52" s="200">
        <v>900000</v>
      </c>
      <c r="Y52" s="198">
        <v>20</v>
      </c>
      <c r="Z52" s="198">
        <v>4</v>
      </c>
      <c r="AA52" s="200">
        <v>1.0999999999999999E+41</v>
      </c>
      <c r="AB52" s="51">
        <v>50</v>
      </c>
      <c r="AC52" s="189" t="s">
        <v>38</v>
      </c>
      <c r="AD52" s="53">
        <f>SQRT(X52)/(2*O52)</f>
        <v>2726101.4311796376</v>
      </c>
      <c r="AE52" s="159">
        <f>(AD52/N52)^2</f>
        <v>4.859093992442926E-4</v>
      </c>
      <c r="AF52" s="198" t="s">
        <v>132</v>
      </c>
      <c r="AG52" s="200" t="e">
        <f t="shared" ref="AG52:AG55" si="52">PI()^2*T52^2*S52^2*P52^2*V52/(4*U52)</f>
        <v>#VALUE!</v>
      </c>
    </row>
    <row r="53" spans="4:33" s="198" customFormat="1">
      <c r="D53" s="198" t="s">
        <v>267</v>
      </c>
      <c r="E53" s="198" t="s">
        <v>237</v>
      </c>
      <c r="F53" s="198" t="s">
        <v>32</v>
      </c>
      <c r="G53" s="198" t="s">
        <v>215</v>
      </c>
      <c r="H53" s="198">
        <v>170</v>
      </c>
      <c r="I53" s="198">
        <f>H53*3+2</f>
        <v>512</v>
      </c>
      <c r="J53" s="198">
        <f t="shared" si="51"/>
        <v>256</v>
      </c>
      <c r="K53" s="200">
        <f>2*PI()*N53/I53</f>
        <v>876209.82604027819</v>
      </c>
      <c r="L53" s="201">
        <f>PI()*N53/J53</f>
        <v>876209.82604027819</v>
      </c>
      <c r="M53" s="200">
        <f>COS(85*PI()/180)*N53*2*PI()/I53</f>
        <v>76366.718191336782</v>
      </c>
      <c r="N53" s="162">
        <v>71400000</v>
      </c>
      <c r="O53" s="200">
        <v>1.74E-4</v>
      </c>
      <c r="P53" s="202">
        <v>0.33300000000000002</v>
      </c>
      <c r="Q53" s="202">
        <v>1</v>
      </c>
      <c r="R53" s="50">
        <v>2.1</v>
      </c>
      <c r="S53" s="200">
        <f>2*PI()*N53*(R53/360)</f>
        <v>2616946.6804402978</v>
      </c>
      <c r="T53" s="200">
        <v>100000</v>
      </c>
      <c r="U53" s="200">
        <v>100000</v>
      </c>
      <c r="V53" s="198" t="s">
        <v>19</v>
      </c>
      <c r="W53" s="200">
        <v>1000000</v>
      </c>
      <c r="X53" s="200">
        <v>900000</v>
      </c>
      <c r="Y53" s="198">
        <v>20</v>
      </c>
      <c r="Z53" s="198">
        <v>4</v>
      </c>
      <c r="AA53" s="200">
        <v>1.0999999999999999E+41</v>
      </c>
      <c r="AB53" s="51">
        <v>50</v>
      </c>
      <c r="AC53" s="189" t="s">
        <v>38</v>
      </c>
      <c r="AD53" s="53">
        <f>SQRT(X53)/(2*O53)</f>
        <v>2726101.4311796376</v>
      </c>
      <c r="AE53" s="159">
        <f>(AD53/N53)^2</f>
        <v>1.4577652655335994E-3</v>
      </c>
      <c r="AF53" s="198" t="s">
        <v>238</v>
      </c>
    </row>
    <row r="54" spans="4:33" s="198" customFormat="1">
      <c r="D54" s="198" t="s">
        <v>267</v>
      </c>
      <c r="E54" s="198" t="s">
        <v>232</v>
      </c>
      <c r="F54" s="198" t="s">
        <v>323</v>
      </c>
      <c r="G54" s="198" t="s">
        <v>273</v>
      </c>
      <c r="H54" s="198">
        <v>170</v>
      </c>
      <c r="I54" s="198">
        <f>H54*3+2</f>
        <v>512</v>
      </c>
      <c r="J54" s="198">
        <f t="shared" si="51"/>
        <v>256</v>
      </c>
      <c r="K54" s="200">
        <f>2*PI()*N54/I54</f>
        <v>502163.95072224352</v>
      </c>
      <c r="L54" s="201">
        <f>PI()*N54/J54</f>
        <v>502163.95072224352</v>
      </c>
      <c r="M54" s="200">
        <f>COS(85*PI()/180)*N54*2*PI()/I54</f>
        <v>43766.472106295536</v>
      </c>
      <c r="N54" s="207">
        <v>40920000</v>
      </c>
      <c r="O54" s="200">
        <v>1.74E-4</v>
      </c>
      <c r="P54" s="202">
        <v>0.33300000000000002</v>
      </c>
      <c r="Q54" s="202">
        <v>1</v>
      </c>
      <c r="R54" s="50">
        <v>2.1</v>
      </c>
      <c r="S54" s="200">
        <f>2*PI()*N54*(R54/360)</f>
        <v>1499796.3328237673</v>
      </c>
      <c r="T54" s="200">
        <v>100000</v>
      </c>
      <c r="U54" s="200">
        <v>100000</v>
      </c>
      <c r="V54" s="198" t="s">
        <v>19</v>
      </c>
      <c r="W54" s="200">
        <v>1000000</v>
      </c>
      <c r="X54" s="200">
        <v>900000</v>
      </c>
      <c r="Y54" s="198">
        <v>20</v>
      </c>
      <c r="Z54" s="198">
        <v>4</v>
      </c>
      <c r="AA54" s="200">
        <v>1.0999999999999999E+41</v>
      </c>
      <c r="AB54" s="51">
        <v>50</v>
      </c>
      <c r="AC54" s="189" t="s">
        <v>38</v>
      </c>
      <c r="AD54" s="53">
        <f>SQRT(X54)/(2*O54)</f>
        <v>2726101.4311796376</v>
      </c>
      <c r="AE54" s="159">
        <f>(AD54/N54)^2</f>
        <v>4.4382603188012877E-3</v>
      </c>
      <c r="AF54" s="198" t="s">
        <v>244</v>
      </c>
      <c r="AG54" s="200" t="e">
        <f t="shared" si="52"/>
        <v>#VALUE!</v>
      </c>
    </row>
    <row r="55" spans="4:33" s="198" customFormat="1">
      <c r="D55" s="198" t="s">
        <v>267</v>
      </c>
      <c r="E55" s="198" t="s">
        <v>232</v>
      </c>
      <c r="F55" s="198" t="s">
        <v>324</v>
      </c>
      <c r="G55" s="198" t="s">
        <v>274</v>
      </c>
      <c r="H55" s="198">
        <v>170</v>
      </c>
      <c r="I55" s="198">
        <f>H55*3+2</f>
        <v>512</v>
      </c>
      <c r="J55" s="198">
        <f t="shared" si="51"/>
        <v>256</v>
      </c>
      <c r="K55" s="200">
        <f>2*PI()*N55/I55</f>
        <v>333794.21944391553</v>
      </c>
      <c r="L55" s="201">
        <f>PI()*N55/J55</f>
        <v>333794.21944391553</v>
      </c>
      <c r="M55" s="200">
        <f>COS(85*PI()/180)*N55*2*PI()/I55</f>
        <v>29092.083120509247</v>
      </c>
      <c r="N55" s="207">
        <v>27200000</v>
      </c>
      <c r="O55" s="200">
        <v>1.74E-4</v>
      </c>
      <c r="P55" s="202">
        <v>0.33300000000000002</v>
      </c>
      <c r="Q55" s="202">
        <v>1</v>
      </c>
      <c r="R55" s="50">
        <v>2.1</v>
      </c>
      <c r="S55" s="200">
        <f>2*PI()*N55*(R55/360)</f>
        <v>996932.06873916113</v>
      </c>
      <c r="T55" s="200">
        <v>100000</v>
      </c>
      <c r="U55" s="200">
        <v>100000</v>
      </c>
      <c r="V55" s="198" t="s">
        <v>19</v>
      </c>
      <c r="W55" s="200">
        <v>1000000</v>
      </c>
      <c r="X55" s="200">
        <v>900000</v>
      </c>
      <c r="Y55" s="198">
        <v>20</v>
      </c>
      <c r="Z55" s="198">
        <v>4</v>
      </c>
      <c r="AA55" s="200">
        <v>1.0999999999999999E+41</v>
      </c>
      <c r="AB55" s="51">
        <v>50</v>
      </c>
      <c r="AC55" s="189" t="s">
        <v>38</v>
      </c>
      <c r="AD55" s="53">
        <f>SQRT(X55)/(2*O55)</f>
        <v>2726101.4311796376</v>
      </c>
      <c r="AE55" s="159">
        <f>(AD55/N55)^2</f>
        <v>1.0044913782817459E-2</v>
      </c>
      <c r="AF55" s="198" t="s">
        <v>244</v>
      </c>
      <c r="AG55" s="200" t="e">
        <f t="shared" si="52"/>
        <v>#VALUE!</v>
      </c>
    </row>
    <row r="56" spans="4:33">
      <c r="E56" s="212" t="s">
        <v>249</v>
      </c>
      <c r="F56" s="212"/>
      <c r="G56" s="212"/>
      <c r="H56" s="212"/>
      <c r="I56" s="212"/>
      <c r="J56" s="212"/>
      <c r="K56" s="212"/>
      <c r="L56" s="212"/>
      <c r="M56" s="212"/>
      <c r="N56" s="212"/>
      <c r="AG56" s="195"/>
    </row>
    <row r="57" spans="4:33">
      <c r="D57" s="46" t="s">
        <v>269</v>
      </c>
      <c r="E57" s="46" t="s">
        <v>220</v>
      </c>
      <c r="F57" s="193" t="s">
        <v>275</v>
      </c>
      <c r="G57" s="46" t="s">
        <v>203</v>
      </c>
      <c r="H57" s="46">
        <v>170</v>
      </c>
      <c r="I57" s="46">
        <f t="shared" ref="I57:I62" si="53">H57*3+2</f>
        <v>512</v>
      </c>
      <c r="J57" s="46">
        <f t="shared" ref="J57" si="54">I57/2</f>
        <v>256</v>
      </c>
      <c r="K57" s="48">
        <f t="shared" ref="K57:K62" si="55">2*PI()*N57/I57</f>
        <v>876209.82604027819</v>
      </c>
      <c r="L57" s="191">
        <f t="shared" ref="L57:L62" si="56">PI()*N57/J57</f>
        <v>876209.82604027819</v>
      </c>
      <c r="M57" s="48">
        <f t="shared" ref="M57:M62" si="57">COS(85*PI()/180)*N57*2*PI()/I57</f>
        <v>76366.718191336782</v>
      </c>
      <c r="N57" s="48">
        <v>71400000</v>
      </c>
      <c r="O57" s="48">
        <v>1.74E-4</v>
      </c>
      <c r="P57" s="49">
        <v>0.33300000000000002</v>
      </c>
      <c r="Q57" s="49">
        <v>1</v>
      </c>
      <c r="R57" s="50">
        <v>2.1</v>
      </c>
      <c r="S57" s="48">
        <f>2*PI()*N57*(R57/360)</f>
        <v>2616946.6804402978</v>
      </c>
      <c r="T57" s="48">
        <v>100000</v>
      </c>
      <c r="U57" s="48">
        <v>100000</v>
      </c>
      <c r="V57" s="160" t="s">
        <v>19</v>
      </c>
      <c r="W57" s="48">
        <v>1000000</v>
      </c>
      <c r="X57" s="48">
        <v>60000</v>
      </c>
      <c r="Y57" s="75">
        <v>20</v>
      </c>
      <c r="Z57" s="46">
        <v>4</v>
      </c>
      <c r="AA57" s="48">
        <v>1.1E+43</v>
      </c>
      <c r="AB57" s="51">
        <v>50</v>
      </c>
      <c r="AC57" s="189" t="s">
        <v>38</v>
      </c>
      <c r="AD57" s="53">
        <f t="shared" ref="AD57:AD62" si="58">SQRT(X57)/(2*O57)</f>
        <v>703876.3628687294</v>
      </c>
      <c r="AE57" s="53">
        <f t="shared" ref="AE57:AE62" si="59">(AD57/N57)^2</f>
        <v>9.7184351035573287E-5</v>
      </c>
      <c r="AF57" s="46" t="s">
        <v>243</v>
      </c>
      <c r="AG57" s="195"/>
    </row>
    <row r="58" spans="4:33">
      <c r="D58" s="46" t="s">
        <v>269</v>
      </c>
      <c r="E58" s="170" t="s">
        <v>232</v>
      </c>
      <c r="F58" s="193" t="s">
        <v>282</v>
      </c>
      <c r="G58" s="46" t="s">
        <v>230</v>
      </c>
      <c r="H58" s="46">
        <v>170</v>
      </c>
      <c r="I58" s="46">
        <f t="shared" si="53"/>
        <v>512</v>
      </c>
      <c r="J58" s="46">
        <f>I58/2</f>
        <v>256</v>
      </c>
      <c r="K58" s="48">
        <f t="shared" si="55"/>
        <v>876209.82604027819</v>
      </c>
      <c r="L58" s="191">
        <f t="shared" si="56"/>
        <v>876209.82604027819</v>
      </c>
      <c r="M58" s="48">
        <f t="shared" si="57"/>
        <v>76366.718191336782</v>
      </c>
      <c r="N58" s="48">
        <v>71400000</v>
      </c>
      <c r="O58" s="48">
        <v>1.74E-4</v>
      </c>
      <c r="P58" s="49">
        <v>0.33300000000000002</v>
      </c>
      <c r="Q58" s="49">
        <v>1</v>
      </c>
      <c r="R58" s="50">
        <v>2.1</v>
      </c>
      <c r="S58" s="48">
        <f>2*PI()*N58*(R58/360)</f>
        <v>2616946.6804402978</v>
      </c>
      <c r="T58" s="48">
        <v>100000</v>
      </c>
      <c r="U58" s="48">
        <v>100000</v>
      </c>
      <c r="V58" s="161">
        <v>100000000</v>
      </c>
      <c r="W58" s="48">
        <v>1000000</v>
      </c>
      <c r="X58" s="48">
        <v>60000</v>
      </c>
      <c r="Y58" s="46">
        <v>20</v>
      </c>
      <c r="Z58" s="46">
        <v>4</v>
      </c>
      <c r="AA58" s="48">
        <v>1.1E+43</v>
      </c>
      <c r="AB58" s="51">
        <v>50</v>
      </c>
      <c r="AC58" s="189" t="s">
        <v>38</v>
      </c>
      <c r="AD58" s="53">
        <f t="shared" si="58"/>
        <v>703876.3628687294</v>
      </c>
      <c r="AE58" s="53">
        <f t="shared" si="59"/>
        <v>9.7184351035573287E-5</v>
      </c>
      <c r="AF58" s="46" t="s">
        <v>243</v>
      </c>
      <c r="AG58" s="195">
        <f t="shared" si="49"/>
        <v>1.8737772823903529E+25</v>
      </c>
    </row>
    <row r="59" spans="4:33">
      <c r="D59" s="46" t="s">
        <v>267</v>
      </c>
      <c r="E59" s="46" t="s">
        <v>234</v>
      </c>
      <c r="F59" s="193" t="s">
        <v>283</v>
      </c>
      <c r="G59" s="46" t="s">
        <v>218</v>
      </c>
      <c r="H59" s="46">
        <v>170</v>
      </c>
      <c r="I59" s="46">
        <f t="shared" si="53"/>
        <v>512</v>
      </c>
      <c r="J59" s="46">
        <f t="shared" ref="J59" si="60">I59/2</f>
        <v>256</v>
      </c>
      <c r="K59" s="48">
        <f t="shared" si="55"/>
        <v>876209.82604027819</v>
      </c>
      <c r="L59" s="191">
        <f t="shared" si="56"/>
        <v>876209.82604027819</v>
      </c>
      <c r="M59" s="48">
        <f t="shared" si="57"/>
        <v>76366.718191336782</v>
      </c>
      <c r="N59" s="48">
        <v>71400000</v>
      </c>
      <c r="O59" s="48">
        <v>1.74E-4</v>
      </c>
      <c r="P59" s="49">
        <v>0.33300000000000002</v>
      </c>
      <c r="Q59" s="49">
        <v>1</v>
      </c>
      <c r="R59" s="50">
        <v>2.1</v>
      </c>
      <c r="S59" s="48">
        <f>2*PI()*N59*(R59/360)</f>
        <v>2616946.6804402978</v>
      </c>
      <c r="T59" s="48">
        <v>100000</v>
      </c>
      <c r="U59" s="48">
        <v>100000</v>
      </c>
      <c r="V59" s="162">
        <v>10000000</v>
      </c>
      <c r="W59" s="48">
        <v>1000000</v>
      </c>
      <c r="X59" s="48">
        <v>60000</v>
      </c>
      <c r="Y59" s="46">
        <v>20</v>
      </c>
      <c r="Z59" s="46">
        <v>4</v>
      </c>
      <c r="AA59" s="48">
        <v>1.1E+43</v>
      </c>
      <c r="AB59" s="51">
        <v>50</v>
      </c>
      <c r="AC59" s="189" t="s">
        <v>38</v>
      </c>
      <c r="AD59" s="53">
        <f t="shared" si="58"/>
        <v>703876.3628687294</v>
      </c>
      <c r="AE59" s="53">
        <f t="shared" si="59"/>
        <v>9.7184351035573287E-5</v>
      </c>
      <c r="AF59" s="46" t="s">
        <v>243</v>
      </c>
      <c r="AG59" s="195">
        <f t="shared" si="49"/>
        <v>1.8737772823903532E+24</v>
      </c>
    </row>
    <row r="60" spans="4:33">
      <c r="D60" s="46" t="s">
        <v>267</v>
      </c>
      <c r="E60" s="46" t="s">
        <v>232</v>
      </c>
      <c r="F60" s="193" t="s">
        <v>284</v>
      </c>
      <c r="G60" s="46" t="s">
        <v>235</v>
      </c>
      <c r="H60" s="46">
        <v>170</v>
      </c>
      <c r="I60" s="46">
        <f t="shared" si="53"/>
        <v>512</v>
      </c>
      <c r="J60" s="46">
        <f>I60/2</f>
        <v>256</v>
      </c>
      <c r="K60" s="48">
        <f t="shared" si="55"/>
        <v>876209.82604027819</v>
      </c>
      <c r="L60" s="191">
        <f t="shared" si="56"/>
        <v>876209.82604027819</v>
      </c>
      <c r="M60" s="48">
        <f t="shared" si="57"/>
        <v>76366.718191336782</v>
      </c>
      <c r="N60" s="48">
        <v>71400000</v>
      </c>
      <c r="O60" s="48">
        <v>1.74E-4</v>
      </c>
      <c r="P60" s="49">
        <v>0.33300000000000002</v>
      </c>
      <c r="Q60" s="49">
        <v>1</v>
      </c>
      <c r="R60" s="50">
        <v>2.1</v>
      </c>
      <c r="S60" s="48">
        <f t="shared" ref="S60" si="61">2*PI()*N60*(R60/360)</f>
        <v>2616946.6804402978</v>
      </c>
      <c r="T60" s="48">
        <v>100000</v>
      </c>
      <c r="U60" s="48">
        <v>100000</v>
      </c>
      <c r="V60" s="162">
        <v>1000000</v>
      </c>
      <c r="W60" s="48">
        <v>1000000</v>
      </c>
      <c r="X60" s="48">
        <v>60000</v>
      </c>
      <c r="Y60" s="46">
        <v>20</v>
      </c>
      <c r="Z60" s="46">
        <v>4</v>
      </c>
      <c r="AA60" s="48">
        <v>1.1E+43</v>
      </c>
      <c r="AB60" s="51">
        <v>50</v>
      </c>
      <c r="AC60" s="189" t="s">
        <v>38</v>
      </c>
      <c r="AD60" s="53">
        <f t="shared" si="58"/>
        <v>703876.3628687294</v>
      </c>
      <c r="AE60" s="53">
        <f t="shared" si="59"/>
        <v>9.7184351035573287E-5</v>
      </c>
      <c r="AF60" s="46" t="s">
        <v>243</v>
      </c>
      <c r="AG60" s="195">
        <f t="shared" si="49"/>
        <v>1.873777282390353E+23</v>
      </c>
    </row>
    <row r="61" spans="4:33">
      <c r="D61" s="46" t="s">
        <v>267</v>
      </c>
      <c r="E61" s="46" t="s">
        <v>232</v>
      </c>
      <c r="F61" s="193" t="s">
        <v>285</v>
      </c>
      <c r="G61" s="46" t="s">
        <v>222</v>
      </c>
      <c r="H61" s="46">
        <v>170</v>
      </c>
      <c r="I61" s="46">
        <f t="shared" si="53"/>
        <v>512</v>
      </c>
      <c r="J61" s="46">
        <f t="shared" ref="J61" si="62">I61/2</f>
        <v>256</v>
      </c>
      <c r="K61" s="48">
        <f t="shared" si="55"/>
        <v>876209.82604027819</v>
      </c>
      <c r="L61" s="191">
        <f t="shared" si="56"/>
        <v>876209.82604027819</v>
      </c>
      <c r="M61" s="48">
        <f t="shared" si="57"/>
        <v>76366.718191336782</v>
      </c>
      <c r="N61" s="48">
        <v>71400000</v>
      </c>
      <c r="O61" s="48">
        <v>1.74E-4</v>
      </c>
      <c r="P61" s="49">
        <v>0.33300000000000002</v>
      </c>
      <c r="Q61" s="49">
        <v>1</v>
      </c>
      <c r="R61" s="50">
        <v>2.1</v>
      </c>
      <c r="S61" s="48">
        <f>2*PI()*N61*(R61/360)</f>
        <v>2616946.6804402978</v>
      </c>
      <c r="T61" s="48">
        <v>100000</v>
      </c>
      <c r="U61" s="48">
        <v>100000</v>
      </c>
      <c r="V61" s="162">
        <v>100000</v>
      </c>
      <c r="W61" s="48">
        <v>1000000</v>
      </c>
      <c r="X61" s="48">
        <v>60000</v>
      </c>
      <c r="Y61" s="46">
        <v>20</v>
      </c>
      <c r="Z61" s="46">
        <v>4</v>
      </c>
      <c r="AA61" s="48">
        <v>1.1E+43</v>
      </c>
      <c r="AB61" s="51">
        <v>50</v>
      </c>
      <c r="AC61" s="189" t="s">
        <v>38</v>
      </c>
      <c r="AD61" s="53">
        <f t="shared" si="58"/>
        <v>703876.3628687294</v>
      </c>
      <c r="AE61" s="53">
        <f t="shared" si="59"/>
        <v>9.7184351035573287E-5</v>
      </c>
      <c r="AF61" s="46" t="s">
        <v>243</v>
      </c>
      <c r="AG61" s="195">
        <f t="shared" si="49"/>
        <v>1.873777282390353E+22</v>
      </c>
    </row>
    <row r="62" spans="4:33">
      <c r="D62" s="46" t="s">
        <v>267</v>
      </c>
      <c r="E62" s="46" t="s">
        <v>233</v>
      </c>
      <c r="F62" s="193" t="s">
        <v>286</v>
      </c>
      <c r="G62" s="46" t="s">
        <v>217</v>
      </c>
      <c r="H62" s="46">
        <v>170</v>
      </c>
      <c r="I62" s="46">
        <f t="shared" si="53"/>
        <v>512</v>
      </c>
      <c r="J62" s="46">
        <f>I62/2</f>
        <v>256</v>
      </c>
      <c r="K62" s="48">
        <f t="shared" si="55"/>
        <v>876209.82604027819</v>
      </c>
      <c r="L62" s="191">
        <f t="shared" si="56"/>
        <v>876209.82604027819</v>
      </c>
      <c r="M62" s="48">
        <f t="shared" si="57"/>
        <v>76366.718191336782</v>
      </c>
      <c r="N62" s="48">
        <v>71400000</v>
      </c>
      <c r="O62" s="48">
        <v>1.74E-4</v>
      </c>
      <c r="P62" s="49">
        <v>0.33300000000000002</v>
      </c>
      <c r="Q62" s="49">
        <v>1</v>
      </c>
      <c r="R62" s="50">
        <v>2.1</v>
      </c>
      <c r="S62" s="48">
        <f>2*PI()*N62*(R62/360)</f>
        <v>2616946.6804402978</v>
      </c>
      <c r="T62" s="48">
        <v>100000</v>
      </c>
      <c r="U62" s="48">
        <v>100000</v>
      </c>
      <c r="V62" s="163">
        <v>1000</v>
      </c>
      <c r="W62" s="48">
        <v>1000000</v>
      </c>
      <c r="X62" s="48">
        <v>60000</v>
      </c>
      <c r="Y62" s="46">
        <v>20</v>
      </c>
      <c r="Z62" s="46">
        <v>4</v>
      </c>
      <c r="AA62" s="48">
        <v>1.1E+43</v>
      </c>
      <c r="AB62" s="51">
        <v>50</v>
      </c>
      <c r="AC62" s="189" t="s">
        <v>38</v>
      </c>
      <c r="AD62" s="53">
        <f t="shared" si="58"/>
        <v>703876.3628687294</v>
      </c>
      <c r="AE62" s="53">
        <f t="shared" si="59"/>
        <v>9.7184351035573287E-5</v>
      </c>
      <c r="AF62" s="46" t="s">
        <v>243</v>
      </c>
      <c r="AG62" s="195">
        <f t="shared" si="49"/>
        <v>1.8737772823903532E+20</v>
      </c>
    </row>
    <row r="63" spans="4:33">
      <c r="AG63" s="195"/>
    </row>
    <row r="64" spans="4:33">
      <c r="E64" s="212" t="s">
        <v>250</v>
      </c>
      <c r="F64" s="212"/>
      <c r="G64" s="212"/>
      <c r="H64" s="212"/>
      <c r="I64" s="212"/>
      <c r="J64" s="212"/>
      <c r="K64" s="212"/>
      <c r="L64" s="212"/>
      <c r="M64" s="212"/>
      <c r="N64" s="212"/>
      <c r="AG64" s="195"/>
    </row>
    <row r="65" spans="1:36">
      <c r="E65" s="212" t="s">
        <v>251</v>
      </c>
      <c r="F65" s="212"/>
      <c r="G65" s="212"/>
      <c r="H65" s="212"/>
      <c r="I65" s="212"/>
      <c r="J65" s="212"/>
      <c r="K65" s="212"/>
      <c r="L65" s="212"/>
      <c r="M65" s="212"/>
      <c r="N65" s="212"/>
      <c r="AG65" s="195"/>
    </row>
    <row r="66" spans="1:36">
      <c r="D66" s="46" t="s">
        <v>269</v>
      </c>
      <c r="E66" s="46" t="s">
        <v>236</v>
      </c>
      <c r="F66" s="193" t="s">
        <v>276</v>
      </c>
      <c r="G66" s="46" t="s">
        <v>214</v>
      </c>
      <c r="H66" s="46">
        <v>170</v>
      </c>
      <c r="I66" s="46">
        <f>H66*3+2</f>
        <v>512</v>
      </c>
      <c r="J66" s="46">
        <f t="shared" ref="J66:J67" si="63">I66/2</f>
        <v>256</v>
      </c>
      <c r="K66" s="48">
        <f>2*PI()*N66/I66</f>
        <v>876209.82604027819</v>
      </c>
      <c r="L66" s="191">
        <f>PI()*N66/J66</f>
        <v>876209.82604027819</v>
      </c>
      <c r="M66" s="48">
        <f>COS(85*PI()/180)*N66*2*PI()/I66</f>
        <v>76366.718191336782</v>
      </c>
      <c r="N66" s="48">
        <v>71400000</v>
      </c>
      <c r="O66" s="48">
        <v>1.74E-4</v>
      </c>
      <c r="P66" s="164">
        <v>0.33300000000000002</v>
      </c>
      <c r="Q66" s="164">
        <v>1</v>
      </c>
      <c r="R66" s="50">
        <v>2.1</v>
      </c>
      <c r="S66" s="48">
        <f>2*PI()*N66*(R66/360)</f>
        <v>2616946.6804402978</v>
      </c>
      <c r="T66" s="48">
        <v>100000</v>
      </c>
      <c r="U66" s="48">
        <v>100000</v>
      </c>
      <c r="V66" s="46" t="s">
        <v>19</v>
      </c>
      <c r="W66" s="48">
        <v>1000000</v>
      </c>
      <c r="X66" s="48">
        <v>300000</v>
      </c>
      <c r="Y66" s="46">
        <v>20</v>
      </c>
      <c r="Z66" s="46">
        <v>4</v>
      </c>
      <c r="AA66" s="48">
        <v>1.0999999999999999E+41</v>
      </c>
      <c r="AB66" s="51">
        <v>50</v>
      </c>
      <c r="AC66" s="189" t="s">
        <v>38</v>
      </c>
      <c r="AD66" s="53">
        <f>SQRT(X66)/(2*O66)</f>
        <v>1573915.3951297877</v>
      </c>
      <c r="AE66" s="53">
        <f>(AD66/N66)^2</f>
        <v>4.8592175517786637E-4</v>
      </c>
      <c r="AF66" s="46" t="s">
        <v>132</v>
      </c>
      <c r="AG66" s="195"/>
    </row>
    <row r="67" spans="1:36">
      <c r="D67" s="46" t="s">
        <v>267</v>
      </c>
      <c r="E67" s="174" t="s">
        <v>232</v>
      </c>
      <c r="F67" s="193" t="s">
        <v>287</v>
      </c>
      <c r="G67" s="46" t="s">
        <v>240</v>
      </c>
      <c r="H67" s="46">
        <v>170</v>
      </c>
      <c r="I67" s="46">
        <f>H67*3+2</f>
        <v>512</v>
      </c>
      <c r="J67" s="46">
        <f t="shared" si="63"/>
        <v>256</v>
      </c>
      <c r="K67" s="48">
        <f>2*PI()*N67/I67</f>
        <v>876209.82604027819</v>
      </c>
      <c r="L67" s="191">
        <f>PI()*N67/J67</f>
        <v>876209.82604027819</v>
      </c>
      <c r="M67" s="48">
        <f>COS(85*PI()/180)*N67*2*PI()/I67</f>
        <v>76366.718191336782</v>
      </c>
      <c r="N67" s="48">
        <v>71400000</v>
      </c>
      <c r="O67" s="48">
        <v>1.74E-4</v>
      </c>
      <c r="P67" s="165" t="s">
        <v>241</v>
      </c>
      <c r="Q67" s="164">
        <v>0.5</v>
      </c>
      <c r="R67" s="50">
        <v>2.1</v>
      </c>
      <c r="S67" s="48">
        <f>2*PI()*N67*(R67/360)</f>
        <v>2616946.6804402978</v>
      </c>
      <c r="T67" s="48">
        <v>100000</v>
      </c>
      <c r="U67" s="48">
        <v>100000</v>
      </c>
      <c r="V67" s="46" t="s">
        <v>19</v>
      </c>
      <c r="W67" s="48">
        <v>1000000</v>
      </c>
      <c r="X67" s="48">
        <v>300000</v>
      </c>
      <c r="Y67" s="46">
        <v>20</v>
      </c>
      <c r="Z67" s="46">
        <v>4</v>
      </c>
      <c r="AA67" s="48">
        <v>1.0999999999999999E+41</v>
      </c>
      <c r="AB67" s="51">
        <v>50</v>
      </c>
      <c r="AC67" s="189" t="s">
        <v>38</v>
      </c>
      <c r="AD67" s="53">
        <f>SQRT(X67)/(2*O67)</f>
        <v>1573915.3951297877</v>
      </c>
      <c r="AE67" s="53">
        <f>(AD67/N67)^2</f>
        <v>4.8592175517786637E-4</v>
      </c>
      <c r="AF67" s="46" t="s">
        <v>132</v>
      </c>
      <c r="AG67" s="195"/>
    </row>
    <row r="68" spans="1:36">
      <c r="D68" s="46" t="s">
        <v>267</v>
      </c>
      <c r="E68" s="46" t="s">
        <v>227</v>
      </c>
      <c r="F68" s="193" t="s">
        <v>288</v>
      </c>
      <c r="G68" s="46" t="s">
        <v>207</v>
      </c>
      <c r="H68" s="46">
        <v>170</v>
      </c>
      <c r="I68" s="46">
        <f>H68*3+2</f>
        <v>512</v>
      </c>
      <c r="J68" s="46">
        <f>I68/2</f>
        <v>256</v>
      </c>
      <c r="K68" s="48">
        <f>2*PI()*N68/I68</f>
        <v>876209.82604027819</v>
      </c>
      <c r="L68" s="191">
        <f>PI()*N68/J68</f>
        <v>876209.82604027819</v>
      </c>
      <c r="M68" s="48">
        <f>COS(85*PI()/180)*N68*2*PI()/I68</f>
        <v>76366.718191336782</v>
      </c>
      <c r="N68" s="48">
        <v>71400000</v>
      </c>
      <c r="O68" s="48">
        <v>1.74E-4</v>
      </c>
      <c r="P68" s="165" t="s">
        <v>146</v>
      </c>
      <c r="Q68" s="164">
        <v>0</v>
      </c>
      <c r="R68" s="50">
        <v>2.1</v>
      </c>
      <c r="S68" s="48">
        <f>2*PI()*N68*(R68/360)</f>
        <v>2616946.6804402978</v>
      </c>
      <c r="T68" s="48">
        <v>100000</v>
      </c>
      <c r="U68" s="48">
        <v>100000</v>
      </c>
      <c r="V68" s="46" t="s">
        <v>19</v>
      </c>
      <c r="W68" s="48">
        <v>1000000</v>
      </c>
      <c r="X68" s="48">
        <v>300000</v>
      </c>
      <c r="Y68" s="46">
        <v>20</v>
      </c>
      <c r="Z68" s="46">
        <v>4</v>
      </c>
      <c r="AA68" s="48">
        <v>1.0999999999999999E+41</v>
      </c>
      <c r="AB68" s="51">
        <v>50</v>
      </c>
      <c r="AC68" s="189" t="s">
        <v>38</v>
      </c>
      <c r="AD68" s="53">
        <f>SQRT(X68)/(2*O68)</f>
        <v>1573915.3951297877</v>
      </c>
      <c r="AE68" s="53">
        <f>(AD68/N68)^2</f>
        <v>4.8592175517786637E-4</v>
      </c>
      <c r="AF68" s="46" t="s">
        <v>132</v>
      </c>
      <c r="AG68" s="195"/>
    </row>
    <row r="69" spans="1:36">
      <c r="E69" s="212" t="s">
        <v>252</v>
      </c>
      <c r="F69" s="212"/>
      <c r="G69" s="212"/>
      <c r="H69" s="212"/>
      <c r="I69" s="212"/>
      <c r="J69" s="212"/>
      <c r="K69" s="212"/>
      <c r="L69" s="212"/>
      <c r="M69" s="212"/>
      <c r="N69" s="212"/>
      <c r="O69" s="48"/>
      <c r="P69" s="156"/>
      <c r="Q69" s="49"/>
      <c r="R69" s="50"/>
      <c r="S69" s="48"/>
      <c r="T69" s="48"/>
      <c r="U69" s="48"/>
      <c r="W69" s="48"/>
      <c r="X69" s="48"/>
      <c r="Z69" s="46"/>
      <c r="AA69" s="48"/>
      <c r="AB69" s="51"/>
      <c r="AD69" s="53"/>
      <c r="AE69" s="53"/>
      <c r="AG69" s="195"/>
    </row>
    <row r="70" spans="1:36">
      <c r="D70" s="46" t="s">
        <v>267</v>
      </c>
      <c r="E70" s="46" t="s">
        <v>232</v>
      </c>
      <c r="G70" s="46" t="s">
        <v>225</v>
      </c>
      <c r="H70" s="46">
        <v>170</v>
      </c>
      <c r="I70" s="46">
        <f>H70*3+2</f>
        <v>512</v>
      </c>
      <c r="J70" s="46">
        <f t="shared" ref="J70:J72" si="64">I70/2</f>
        <v>256</v>
      </c>
      <c r="K70" s="48">
        <f>2*PI()*N70/I70</f>
        <v>876209.82604027819</v>
      </c>
      <c r="L70" s="191">
        <f>PI()*N70/J70</f>
        <v>876209.82604027819</v>
      </c>
      <c r="M70" s="48">
        <f>COS(85*PI()/180)*N70*2*PI()/I70</f>
        <v>76366.718191336782</v>
      </c>
      <c r="N70" s="48">
        <v>71400000</v>
      </c>
      <c r="O70" s="48">
        <v>1.74E-4</v>
      </c>
      <c r="P70" s="164">
        <v>0.33300000000000002</v>
      </c>
      <c r="Q70" s="164">
        <v>1</v>
      </c>
      <c r="R70" s="50">
        <v>2.1</v>
      </c>
      <c r="S70" s="48">
        <f>2*PI()*N70*(R70/360)</f>
        <v>2616946.6804402978</v>
      </c>
      <c r="T70" s="48">
        <v>100000</v>
      </c>
      <c r="U70" s="48">
        <v>100000</v>
      </c>
      <c r="V70" s="48">
        <v>10000000</v>
      </c>
      <c r="W70" s="48">
        <v>1000000</v>
      </c>
      <c r="X70" s="48">
        <v>900000</v>
      </c>
      <c r="Y70" s="46">
        <v>20</v>
      </c>
      <c r="Z70" s="46">
        <v>4</v>
      </c>
      <c r="AA70" s="48">
        <v>1.1E+43</v>
      </c>
      <c r="AB70" s="51">
        <v>50</v>
      </c>
      <c r="AC70" s="189" t="s">
        <v>38</v>
      </c>
      <c r="AD70" s="53">
        <f>SQRT(X70)/(2*O70)</f>
        <v>2726101.4311796376</v>
      </c>
      <c r="AE70" s="53">
        <f>(AD70/N70)^2</f>
        <v>1.4577652655335994E-3</v>
      </c>
      <c r="AF70" s="46" t="s">
        <v>238</v>
      </c>
      <c r="AG70" s="195">
        <f t="shared" si="49"/>
        <v>1.8737772823903532E+24</v>
      </c>
    </row>
    <row r="71" spans="1:36">
      <c r="D71" s="46" t="s">
        <v>267</v>
      </c>
      <c r="E71" s="46" t="s">
        <v>232</v>
      </c>
      <c r="G71" s="46" t="s">
        <v>226</v>
      </c>
      <c r="H71" s="46">
        <v>170</v>
      </c>
      <c r="I71" s="46">
        <f>H71*3+2</f>
        <v>512</v>
      </c>
      <c r="J71" s="46">
        <f t="shared" si="64"/>
        <v>256</v>
      </c>
      <c r="K71" s="48">
        <f>2*PI()*N71/I71</f>
        <v>876209.82604027819</v>
      </c>
      <c r="L71" s="191">
        <f>PI()*N71/J71</f>
        <v>876209.82604027819</v>
      </c>
      <c r="M71" s="48">
        <f>COS(85*PI()/180)*N71*2*PI()/I71</f>
        <v>76366.718191336782</v>
      </c>
      <c r="N71" s="48">
        <v>71400000</v>
      </c>
      <c r="O71" s="48">
        <v>1.74E-4</v>
      </c>
      <c r="P71" s="164">
        <v>0.33300000000000002</v>
      </c>
      <c r="Q71" s="164">
        <v>0.5</v>
      </c>
      <c r="R71" s="50">
        <v>2.1</v>
      </c>
      <c r="S71" s="48">
        <f>2*PI()*N71*(R71/360)</f>
        <v>2616946.6804402978</v>
      </c>
      <c r="T71" s="48">
        <v>100000</v>
      </c>
      <c r="U71" s="48">
        <v>100000</v>
      </c>
      <c r="V71" s="48">
        <v>10000000</v>
      </c>
      <c r="W71" s="48">
        <v>1000000</v>
      </c>
      <c r="X71" s="48">
        <v>900000</v>
      </c>
      <c r="Y71" s="46">
        <v>20</v>
      </c>
      <c r="Z71" s="46">
        <v>4</v>
      </c>
      <c r="AA71" s="48">
        <v>1.1E+43</v>
      </c>
      <c r="AB71" s="51">
        <v>50</v>
      </c>
      <c r="AC71" s="189" t="s">
        <v>38</v>
      </c>
      <c r="AD71" s="53">
        <f>SQRT(X71)/(2*O71)</f>
        <v>2726101.4311796376</v>
      </c>
      <c r="AE71" s="53">
        <f>(AD71/N71)^2</f>
        <v>1.4577652655335994E-3</v>
      </c>
      <c r="AF71" s="46" t="s">
        <v>238</v>
      </c>
      <c r="AG71" s="195">
        <f t="shared" si="49"/>
        <v>1.8737772823903532E+24</v>
      </c>
    </row>
    <row r="72" spans="1:36">
      <c r="D72" s="46" t="s">
        <v>267</v>
      </c>
      <c r="E72" s="174" t="s">
        <v>232</v>
      </c>
      <c r="G72" s="46" t="s">
        <v>239</v>
      </c>
      <c r="H72" s="46">
        <v>170</v>
      </c>
      <c r="I72" s="46">
        <f>H72*3+2</f>
        <v>512</v>
      </c>
      <c r="J72" s="46">
        <f t="shared" si="64"/>
        <v>256</v>
      </c>
      <c r="K72" s="48">
        <f>2*PI()*N72/I72</f>
        <v>876209.82604027819</v>
      </c>
      <c r="L72" s="191">
        <f>PI()*N72/J72</f>
        <v>876209.82604027819</v>
      </c>
      <c r="M72" s="48">
        <f>COS(85*PI()/180)*N72*2*PI()/I72</f>
        <v>76366.718191336782</v>
      </c>
      <c r="N72" s="48">
        <v>71400000</v>
      </c>
      <c r="O72" s="48">
        <v>1.74E-4</v>
      </c>
      <c r="P72" s="165" t="s">
        <v>146</v>
      </c>
      <c r="Q72" s="164">
        <v>0</v>
      </c>
      <c r="R72" s="50">
        <v>2.1</v>
      </c>
      <c r="S72" s="48">
        <f>2*PI()*N72*(R72/360)</f>
        <v>2616946.6804402978</v>
      </c>
      <c r="T72" s="48">
        <v>100000</v>
      </c>
      <c r="U72" s="48">
        <v>100000</v>
      </c>
      <c r="V72" s="48">
        <v>10000000</v>
      </c>
      <c r="W72" s="48">
        <v>1000000</v>
      </c>
      <c r="X72" s="48">
        <v>900000</v>
      </c>
      <c r="Y72" s="46">
        <v>20</v>
      </c>
      <c r="Z72" s="46">
        <v>4</v>
      </c>
      <c r="AA72" s="48">
        <v>1.1E+43</v>
      </c>
      <c r="AB72" s="51">
        <v>50</v>
      </c>
      <c r="AC72" s="189" t="s">
        <v>38</v>
      </c>
      <c r="AD72" s="53">
        <f>SQRT(X72)/(2*O72)</f>
        <v>2726101.4311796376</v>
      </c>
      <c r="AE72" s="53">
        <f>(AD72/N72)^2</f>
        <v>1.4577652655335994E-3</v>
      </c>
      <c r="AF72" s="46" t="s">
        <v>238</v>
      </c>
      <c r="AG72" s="195">
        <f t="shared" si="49"/>
        <v>1.8737772823903532E+24</v>
      </c>
    </row>
    <row r="73" spans="1:36">
      <c r="N73" s="46"/>
      <c r="AG73" s="195"/>
    </row>
    <row r="74" spans="1:36">
      <c r="E74" s="212" t="s">
        <v>253</v>
      </c>
      <c r="F74" s="212"/>
      <c r="G74" s="212"/>
      <c r="H74" s="212"/>
      <c r="I74" s="212"/>
      <c r="J74" s="212"/>
      <c r="K74" s="212"/>
      <c r="L74" s="212"/>
      <c r="M74" s="212"/>
      <c r="N74" s="212"/>
      <c r="AG74" s="195"/>
    </row>
    <row r="75" spans="1:36">
      <c r="E75" s="46" t="s">
        <v>211</v>
      </c>
      <c r="F75" s="193" t="s">
        <v>289</v>
      </c>
      <c r="G75" s="46" t="s">
        <v>210</v>
      </c>
      <c r="H75" s="160">
        <v>341</v>
      </c>
      <c r="I75" s="46">
        <f>H75*3+1</f>
        <v>1024</v>
      </c>
      <c r="J75" s="46">
        <f t="shared" ref="J75:J76" si="65">I75/2</f>
        <v>512</v>
      </c>
      <c r="K75" s="48">
        <f>2*PI()*N75/I75</f>
        <v>438104.91302013909</v>
      </c>
      <c r="L75" s="191">
        <f>PI()*N75/J75</f>
        <v>438104.91302013909</v>
      </c>
      <c r="M75" s="48">
        <f>COS(85*PI()/180)*N75*2*PI()/I75</f>
        <v>38183.359095668391</v>
      </c>
      <c r="N75" s="48">
        <v>71400000</v>
      </c>
      <c r="O75" s="48">
        <v>1.74E-4</v>
      </c>
      <c r="P75" s="49">
        <v>0.33300000000000002</v>
      </c>
      <c r="Q75" s="49">
        <v>1</v>
      </c>
      <c r="R75" s="50">
        <v>0.7</v>
      </c>
      <c r="S75" s="48">
        <f>2*PI()*N75*(R75/360)</f>
        <v>872315.56014676578</v>
      </c>
      <c r="T75" s="48">
        <v>100000</v>
      </c>
      <c r="U75" s="48">
        <v>12500</v>
      </c>
      <c r="V75" s="46" t="s">
        <v>19</v>
      </c>
      <c r="W75" s="48">
        <v>1000000</v>
      </c>
      <c r="X75" s="48">
        <v>60000</v>
      </c>
      <c r="Y75" s="46">
        <v>10</v>
      </c>
      <c r="Z75" s="46">
        <v>4</v>
      </c>
      <c r="AA75" s="48">
        <v>4.4999999999999998E+38</v>
      </c>
      <c r="AB75" s="51">
        <v>50</v>
      </c>
      <c r="AC75" s="189" t="s">
        <v>38</v>
      </c>
      <c r="AD75" s="53">
        <f>SQRT(X75)/(2*O75)</f>
        <v>703876.3628687294</v>
      </c>
      <c r="AE75" s="53">
        <f>(AD75/N75)^2</f>
        <v>9.7184351035573287E-5</v>
      </c>
      <c r="AF75" s="46" t="s">
        <v>243</v>
      </c>
      <c r="AG75" s="195"/>
    </row>
    <row r="76" spans="1:36">
      <c r="D76" s="46" t="s">
        <v>269</v>
      </c>
      <c r="E76" s="46" t="s">
        <v>220</v>
      </c>
      <c r="F76" s="193" t="s">
        <v>275</v>
      </c>
      <c r="G76" s="46" t="s">
        <v>203</v>
      </c>
      <c r="H76" s="160">
        <v>170</v>
      </c>
      <c r="I76" s="46">
        <f>H76*3+2</f>
        <v>512</v>
      </c>
      <c r="J76" s="46">
        <f t="shared" si="65"/>
        <v>256</v>
      </c>
      <c r="K76" s="48">
        <f>2*PI()*N76/I76</f>
        <v>876209.82604027819</v>
      </c>
      <c r="L76" s="191">
        <f>PI()*N76/J76</f>
        <v>876209.82604027819</v>
      </c>
      <c r="M76" s="48">
        <f>COS(85*PI()/180)*N76*2*PI()/I76</f>
        <v>76366.718191336782</v>
      </c>
      <c r="N76" s="48">
        <v>71400000</v>
      </c>
      <c r="O76" s="48">
        <v>1.74E-4</v>
      </c>
      <c r="P76" s="49">
        <v>0.33300000000000002</v>
      </c>
      <c r="Q76" s="49">
        <v>1</v>
      </c>
      <c r="R76" s="50">
        <v>2.1</v>
      </c>
      <c r="S76" s="48">
        <f>2*PI()*N76*(R76/360)</f>
        <v>2616946.6804402978</v>
      </c>
      <c r="T76" s="48">
        <v>100000</v>
      </c>
      <c r="U76" s="48">
        <v>100000</v>
      </c>
      <c r="V76" s="46" t="s">
        <v>19</v>
      </c>
      <c r="W76" s="48">
        <v>1000000</v>
      </c>
      <c r="X76" s="48">
        <v>60000</v>
      </c>
      <c r="Y76" s="75">
        <v>20</v>
      </c>
      <c r="Z76" s="46">
        <v>4</v>
      </c>
      <c r="AA76" s="48">
        <v>1.1E+43</v>
      </c>
      <c r="AB76" s="51">
        <v>50</v>
      </c>
      <c r="AC76" s="189" t="s">
        <v>38</v>
      </c>
      <c r="AD76" s="53">
        <f>SQRT(X76)/(2*O76)</f>
        <v>703876.3628687294</v>
      </c>
      <c r="AE76" s="53">
        <f>(AD76/N76)^2</f>
        <v>9.7184351035573287E-5</v>
      </c>
      <c r="AF76" s="46" t="s">
        <v>243</v>
      </c>
      <c r="AG76" s="195"/>
    </row>
    <row r="77" spans="1:36">
      <c r="AG77" s="195"/>
    </row>
    <row r="80" spans="1:36">
      <c r="A80" s="203"/>
      <c r="B80" s="203"/>
      <c r="C80" s="203"/>
      <c r="D80" s="203"/>
      <c r="E80" s="203"/>
      <c r="F80" s="203"/>
      <c r="G80" s="203" t="s">
        <v>327</v>
      </c>
      <c r="H80" s="203">
        <v>170</v>
      </c>
      <c r="I80" s="203">
        <f t="shared" ref="I80" si="66">H80*3+2</f>
        <v>512</v>
      </c>
      <c r="J80" s="203">
        <f t="shared" ref="J80" si="67">I80/2</f>
        <v>256</v>
      </c>
      <c r="K80" s="206">
        <f t="shared" ref="K80" si="68">2*PI()*N80/I80</f>
        <v>876209.82604027819</v>
      </c>
      <c r="L80" s="204">
        <f t="shared" ref="L80" si="69">PI()*N80/J80</f>
        <v>876209.82604027819</v>
      </c>
      <c r="M80" s="206">
        <f t="shared" ref="M80" si="70">COS(85*PI()/180)*N80*2*PI()/I80</f>
        <v>76366.718191336782</v>
      </c>
      <c r="N80" s="206">
        <v>71400000</v>
      </c>
      <c r="O80" s="206">
        <v>1.74E-4</v>
      </c>
      <c r="P80" s="205">
        <v>0.33300000000000002</v>
      </c>
      <c r="Q80" s="205">
        <v>1</v>
      </c>
      <c r="R80" s="50">
        <v>2.1</v>
      </c>
      <c r="S80" s="206">
        <f>2*PI()*N80*(R80/360)</f>
        <v>2616946.6804402978</v>
      </c>
      <c r="T80" s="206">
        <v>100000</v>
      </c>
      <c r="U80" s="206">
        <v>100000</v>
      </c>
      <c r="V80" s="162">
        <v>10000000</v>
      </c>
      <c r="W80" s="206">
        <v>1000000</v>
      </c>
      <c r="X80" s="206">
        <v>50000</v>
      </c>
      <c r="Y80" s="203">
        <v>20</v>
      </c>
      <c r="Z80" s="203">
        <v>4</v>
      </c>
      <c r="AA80" s="206">
        <v>1.1E+43</v>
      </c>
      <c r="AB80" s="51">
        <v>50</v>
      </c>
      <c r="AC80" s="189" t="s">
        <v>38</v>
      </c>
      <c r="AD80" s="53">
        <f t="shared" ref="AD80" si="71">SQRT(X80)/(2*O80)</f>
        <v>642548.26939649123</v>
      </c>
      <c r="AE80" s="53">
        <f t="shared" ref="AE80" si="72">(AD80/N80)^2</f>
        <v>8.0986959196311056E-5</v>
      </c>
      <c r="AF80" s="203" t="s">
        <v>243</v>
      </c>
      <c r="AG80" s="206"/>
      <c r="AH80" s="203"/>
      <c r="AI80" s="203"/>
      <c r="AJ80" s="203"/>
    </row>
  </sheetData>
  <mergeCells count="53">
    <mergeCell ref="E7:E8"/>
    <mergeCell ref="G7:G8"/>
    <mergeCell ref="H7:H8"/>
    <mergeCell ref="I7:I8"/>
    <mergeCell ref="Y7:Y8"/>
    <mergeCell ref="P7:P8"/>
    <mergeCell ref="I2:S3"/>
    <mergeCell ref="U7:U8"/>
    <mergeCell ref="V7:V8"/>
    <mergeCell ref="W7:W8"/>
    <mergeCell ref="X7:X8"/>
    <mergeCell ref="Q7:Q8"/>
    <mergeCell ref="R7:R8"/>
    <mergeCell ref="S7:S8"/>
    <mergeCell ref="T7:T8"/>
    <mergeCell ref="J7:J8"/>
    <mergeCell ref="L7:L8"/>
    <mergeCell ref="M7:M8"/>
    <mergeCell ref="N7:N8"/>
    <mergeCell ref="O7:O8"/>
    <mergeCell ref="AE25:AF25"/>
    <mergeCell ref="AE26:AF26"/>
    <mergeCell ref="AE27:AF27"/>
    <mergeCell ref="E74:N74"/>
    <mergeCell ref="E65:N65"/>
    <mergeCell ref="E69:N69"/>
    <mergeCell ref="E38:N38"/>
    <mergeCell ref="E39:N39"/>
    <mergeCell ref="E45:N45"/>
    <mergeCell ref="E56:N56"/>
    <mergeCell ref="E64:N64"/>
    <mergeCell ref="AE28:AF28"/>
    <mergeCell ref="AE29:AF29"/>
    <mergeCell ref="AE30:AF30"/>
    <mergeCell ref="AE31:AF31"/>
    <mergeCell ref="E50:N50"/>
    <mergeCell ref="AE8:AF8"/>
    <mergeCell ref="AE9:AF9"/>
    <mergeCell ref="AE10:AF10"/>
    <mergeCell ref="AE11:AF11"/>
    <mergeCell ref="AE14:AF14"/>
    <mergeCell ref="AE13:AF13"/>
    <mergeCell ref="AE12:AF12"/>
    <mergeCell ref="AE23:AF23"/>
    <mergeCell ref="AE24:AF24"/>
    <mergeCell ref="AE15:AF15"/>
    <mergeCell ref="AE18:AF18"/>
    <mergeCell ref="AE20:AF20"/>
    <mergeCell ref="AE21:AF21"/>
    <mergeCell ref="AE22:AF22"/>
    <mergeCell ref="AE19:AF19"/>
    <mergeCell ref="AE16:AF16"/>
    <mergeCell ref="AE17:AF1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1"/>
  <sheetViews>
    <sheetView zoomScale="70" zoomScaleNormal="70" workbookViewId="0">
      <selection activeCell="V98" sqref="V98"/>
    </sheetView>
  </sheetViews>
  <sheetFormatPr defaultRowHeight="18.75"/>
  <cols>
    <col min="1" max="1" width="18.75" style="1" customWidth="1"/>
    <col min="2" max="2" width="9" style="5"/>
    <col min="3" max="3" width="11.625" style="1" customWidth="1"/>
    <col min="4" max="4" width="11.125" style="1" customWidth="1"/>
    <col min="5" max="7" width="11.5" style="1" customWidth="1"/>
    <col min="8" max="8" width="13" style="1" customWidth="1"/>
    <col min="9" max="9" width="13.375" style="1" customWidth="1"/>
    <col min="10" max="11" width="13.375" style="83" customWidth="1"/>
    <col min="12" max="12" width="10.5" style="1" customWidth="1"/>
    <col min="13" max="13" width="13" style="1" customWidth="1"/>
    <col min="14" max="15" width="10.5" style="7" customWidth="1"/>
    <col min="16" max="16" width="9" style="1"/>
    <col min="17" max="19" width="9.5" style="1" bestFit="1" customWidth="1"/>
    <col min="20" max="20" width="10" style="1" customWidth="1"/>
    <col min="21" max="21" width="12.375" style="1" customWidth="1"/>
    <col min="22" max="23" width="9.5" style="1" bestFit="1" customWidth="1"/>
    <col min="24" max="24" width="10.625" style="1" customWidth="1"/>
    <col min="25" max="25" width="9" style="1"/>
    <col min="26" max="26" width="10.75" style="1" customWidth="1"/>
    <col min="27" max="27" width="9" style="1"/>
    <col min="28" max="28" width="10.5" style="1" customWidth="1"/>
    <col min="29" max="29" width="10.375" style="1" customWidth="1"/>
    <col min="30" max="30" width="13.5" style="22" customWidth="1"/>
    <col min="31" max="31" width="10.375" style="27" customWidth="1"/>
    <col min="32" max="33" width="10.375" style="43" customWidth="1"/>
    <col min="34" max="34" width="30.125" style="1" customWidth="1"/>
    <col min="35" max="35" width="19.375" style="39" customWidth="1"/>
    <col min="36" max="36" width="19.375" style="72" customWidth="1"/>
    <col min="37" max="37" width="19.375" style="64" customWidth="1"/>
    <col min="38" max="38" width="25.75" style="94" customWidth="1"/>
    <col min="39" max="39" width="19.375" style="78" customWidth="1"/>
    <col min="40" max="16384" width="9" style="1"/>
  </cols>
  <sheetData>
    <row r="1" spans="1:40">
      <c r="B1" s="2"/>
      <c r="AF1" s="68" t="s">
        <v>112</v>
      </c>
      <c r="AG1" s="67">
        <v>1E-4</v>
      </c>
    </row>
    <row r="2" spans="1:40" s="69" customFormat="1">
      <c r="A2" s="69" t="s">
        <v>131</v>
      </c>
      <c r="B2" s="70" t="s">
        <v>126</v>
      </c>
      <c r="C2" s="69" t="s">
        <v>127</v>
      </c>
      <c r="D2" s="69" t="s">
        <v>128</v>
      </c>
      <c r="E2" s="69" t="s">
        <v>129</v>
      </c>
      <c r="F2" s="69" t="s">
        <v>136</v>
      </c>
      <c r="J2" s="83"/>
      <c r="K2" s="83"/>
      <c r="N2" s="7"/>
      <c r="O2" s="7"/>
      <c r="AD2" s="22"/>
      <c r="AE2" s="27"/>
      <c r="AF2" s="68"/>
      <c r="AG2" s="67"/>
      <c r="AJ2" s="72"/>
      <c r="AL2" s="94"/>
      <c r="AM2" s="78"/>
    </row>
    <row r="3" spans="1:40" s="69" customFormat="1">
      <c r="B3" s="70" t="s">
        <v>130</v>
      </c>
      <c r="C3" s="69">
        <v>250</v>
      </c>
      <c r="D3" s="69">
        <v>429</v>
      </c>
      <c r="E3" s="69">
        <v>912</v>
      </c>
      <c r="F3" s="69">
        <v>433</v>
      </c>
      <c r="J3" s="83"/>
      <c r="K3" s="83"/>
      <c r="N3" s="7"/>
      <c r="O3" s="7"/>
      <c r="AD3" s="22"/>
      <c r="AE3" s="27"/>
      <c r="AF3" s="68"/>
      <c r="AG3" s="67"/>
      <c r="AJ3" s="72"/>
      <c r="AL3" s="94"/>
      <c r="AM3" s="78"/>
    </row>
    <row r="4" spans="1:40" s="69" customFormat="1">
      <c r="B4" s="70"/>
      <c r="J4" s="83"/>
      <c r="K4" s="83"/>
      <c r="N4" s="7"/>
      <c r="O4" s="7"/>
      <c r="AD4" s="22"/>
      <c r="AE4" s="27"/>
      <c r="AF4" s="68"/>
      <c r="AG4" s="67"/>
      <c r="AJ4" s="72"/>
      <c r="AL4" s="94"/>
      <c r="AM4" s="78"/>
    </row>
    <row r="5" spans="1:40">
      <c r="B5" s="2" t="s">
        <v>2</v>
      </c>
      <c r="C5" s="1" t="s">
        <v>3</v>
      </c>
      <c r="G5" s="1" t="s">
        <v>25</v>
      </c>
      <c r="L5" s="1" t="s">
        <v>26</v>
      </c>
      <c r="N5" s="7" t="s">
        <v>29</v>
      </c>
      <c r="AF5" s="68" t="s">
        <v>113</v>
      </c>
      <c r="AG5" s="67">
        <v>4.9382716049382696E-4</v>
      </c>
    </row>
    <row r="6" spans="1:40" ht="18" customHeight="1">
      <c r="B6" s="2"/>
      <c r="W6" s="1" t="s">
        <v>20</v>
      </c>
      <c r="AF6" s="68" t="s">
        <v>114</v>
      </c>
      <c r="AG6" s="67">
        <v>1.6000000000000001E-3</v>
      </c>
    </row>
    <row r="7" spans="1:40" ht="18.75" customHeight="1">
      <c r="B7" s="2"/>
      <c r="C7" s="227" t="s">
        <v>1</v>
      </c>
      <c r="D7" s="221" t="s">
        <v>21</v>
      </c>
      <c r="E7" s="221" t="s">
        <v>22</v>
      </c>
      <c r="F7" s="221" t="s">
        <v>23</v>
      </c>
      <c r="G7" s="221" t="s">
        <v>4</v>
      </c>
      <c r="H7" s="221" t="s">
        <v>5</v>
      </c>
      <c r="I7" s="221" t="s">
        <v>6</v>
      </c>
      <c r="J7" s="81"/>
      <c r="K7" s="81"/>
      <c r="L7" s="223" t="s">
        <v>7</v>
      </c>
      <c r="M7" s="223" t="s">
        <v>8</v>
      </c>
      <c r="N7" s="225" t="s">
        <v>9</v>
      </c>
      <c r="O7" s="225" t="s">
        <v>31</v>
      </c>
      <c r="P7" s="221" t="s">
        <v>15</v>
      </c>
      <c r="Q7" s="221" t="s">
        <v>16</v>
      </c>
      <c r="R7" s="221" t="s">
        <v>17</v>
      </c>
      <c r="S7" s="221" t="s">
        <v>18</v>
      </c>
      <c r="T7" s="223" t="s">
        <v>10</v>
      </c>
      <c r="U7" s="221" t="s">
        <v>11</v>
      </c>
      <c r="V7" s="221" t="s">
        <v>12</v>
      </c>
      <c r="W7" s="223" t="s">
        <v>13</v>
      </c>
      <c r="X7" s="221" t="s">
        <v>14</v>
      </c>
      <c r="Y7" s="221" t="s">
        <v>27</v>
      </c>
      <c r="Z7" s="220" t="s">
        <v>28</v>
      </c>
      <c r="AA7" s="221" t="s">
        <v>30</v>
      </c>
      <c r="AB7" s="220" t="s">
        <v>33</v>
      </c>
      <c r="AC7" s="218" t="s">
        <v>34</v>
      </c>
      <c r="AF7" s="68" t="s">
        <v>115</v>
      </c>
      <c r="AG7" s="67">
        <v>0.01</v>
      </c>
      <c r="AM7" s="78" t="s">
        <v>176</v>
      </c>
    </row>
    <row r="8" spans="1:40" s="4" customFormat="1" ht="38.25" customHeight="1">
      <c r="B8" s="62"/>
      <c r="C8" s="228"/>
      <c r="D8" s="219"/>
      <c r="E8" s="219"/>
      <c r="F8" s="222"/>
      <c r="G8" s="222"/>
      <c r="H8" s="219"/>
      <c r="I8" s="219"/>
      <c r="J8" s="82" t="s">
        <v>161</v>
      </c>
      <c r="K8" s="82" t="s">
        <v>162</v>
      </c>
      <c r="L8" s="224"/>
      <c r="M8" s="224"/>
      <c r="N8" s="226"/>
      <c r="O8" s="229"/>
      <c r="P8" s="219"/>
      <c r="Q8" s="219"/>
      <c r="R8" s="222"/>
      <c r="S8" s="222"/>
      <c r="T8" s="224"/>
      <c r="U8" s="219"/>
      <c r="V8" s="219"/>
      <c r="W8" s="224"/>
      <c r="X8" s="219"/>
      <c r="Y8" s="219"/>
      <c r="Z8" s="219"/>
      <c r="AA8" s="219"/>
      <c r="AB8" s="219"/>
      <c r="AC8" s="219"/>
      <c r="AD8" s="23" t="s">
        <v>39</v>
      </c>
      <c r="AE8" s="28" t="s">
        <v>37</v>
      </c>
      <c r="AF8" s="44" t="s">
        <v>98</v>
      </c>
      <c r="AG8" s="44" t="s">
        <v>99</v>
      </c>
      <c r="AH8" s="37"/>
      <c r="AI8" s="37" t="s">
        <v>106</v>
      </c>
      <c r="AJ8" s="71" t="s">
        <v>139</v>
      </c>
      <c r="AK8" s="62" t="s">
        <v>120</v>
      </c>
      <c r="AL8" s="93" t="s">
        <v>224</v>
      </c>
      <c r="AM8" s="79" t="s">
        <v>159</v>
      </c>
    </row>
    <row r="9" spans="1:40" s="2" customFormat="1">
      <c r="B9" s="5" t="s">
        <v>0</v>
      </c>
      <c r="D9" s="2">
        <v>512</v>
      </c>
      <c r="E9" s="2">
        <v>298</v>
      </c>
      <c r="F9" s="2">
        <f>512*3</f>
        <v>1536</v>
      </c>
      <c r="G9" s="2">
        <f>E9*(18/7)</f>
        <v>766.28571428571433</v>
      </c>
      <c r="H9" s="8">
        <f>2*PI()*L9/D9/3</f>
        <v>292069.94201342604</v>
      </c>
      <c r="I9" s="8">
        <f>PI()*L9*(7/18)/E9</f>
        <v>292723.34233112948</v>
      </c>
      <c r="J9" s="8"/>
      <c r="K9" s="8"/>
      <c r="L9" s="8">
        <v>71400000</v>
      </c>
      <c r="M9" s="8">
        <v>1.74E-4</v>
      </c>
      <c r="N9" s="9">
        <v>0.33300000000000002</v>
      </c>
      <c r="O9" s="9">
        <v>1</v>
      </c>
      <c r="P9" s="10">
        <v>0.7</v>
      </c>
      <c r="Q9" s="8">
        <f t="shared" ref="Q9:Q40" si="0">2*PI()*L9*(P9/360)</f>
        <v>872315.56014676578</v>
      </c>
      <c r="R9" s="8">
        <f t="shared" ref="R9:R40" si="1">Q9/H9</f>
        <v>2.9866666666666668</v>
      </c>
      <c r="S9" s="8">
        <f t="shared" ref="S9:S40" si="2">Q9/I9</f>
        <v>2.98</v>
      </c>
      <c r="T9" s="8">
        <v>100000</v>
      </c>
      <c r="U9" s="8">
        <v>12500</v>
      </c>
      <c r="V9" s="2" t="s">
        <v>19</v>
      </c>
      <c r="W9" s="8">
        <v>1000000</v>
      </c>
      <c r="X9" s="8">
        <v>60000</v>
      </c>
      <c r="AB9" s="2">
        <v>4</v>
      </c>
      <c r="AD9" s="24"/>
      <c r="AE9" s="26"/>
      <c r="AF9" s="45"/>
      <c r="AG9" s="45"/>
      <c r="AI9" s="38"/>
      <c r="AJ9" s="73"/>
      <c r="AK9" s="63"/>
      <c r="AL9" s="95"/>
      <c r="AM9" s="80"/>
      <c r="AN9" s="2" t="s">
        <v>96</v>
      </c>
    </row>
    <row r="10" spans="1:40" s="34" customFormat="1">
      <c r="A10" s="34" t="s">
        <v>46</v>
      </c>
      <c r="B10" s="5" t="s">
        <v>94</v>
      </c>
      <c r="C10" s="34">
        <v>341</v>
      </c>
      <c r="F10" s="34">
        <f t="shared" ref="F10:F16" si="3">C10*3+1</f>
        <v>1024</v>
      </c>
      <c r="G10" s="34">
        <f t="shared" ref="G10:G16" si="4">F10/2</f>
        <v>512</v>
      </c>
      <c r="H10" s="8">
        <f>2*PI()*L10/F10</f>
        <v>438104.91302013909</v>
      </c>
      <c r="I10" s="8">
        <f>PI()*L10/G10</f>
        <v>438104.91302013909</v>
      </c>
      <c r="J10" s="8">
        <f>COS(85*PI()/180)*L10*2*PI()/F10</f>
        <v>38183.359095668391</v>
      </c>
      <c r="K10" s="8"/>
      <c r="L10" s="8">
        <v>71400000</v>
      </c>
      <c r="M10" s="8">
        <v>1.74E-4</v>
      </c>
      <c r="N10" s="9">
        <v>0.33300000000000002</v>
      </c>
      <c r="O10" s="9">
        <v>1</v>
      </c>
      <c r="P10" s="10">
        <v>0.7</v>
      </c>
      <c r="Q10" s="8">
        <f t="shared" ref="Q10:Q15" si="5">2*PI()*L10*(P10/360)</f>
        <v>872315.56014676578</v>
      </c>
      <c r="R10" s="8">
        <f t="shared" ref="R10:R15" si="6">Q10/H10</f>
        <v>1.9911111111111111</v>
      </c>
      <c r="S10" s="8">
        <f>Q10/I10</f>
        <v>1.9911111111111111</v>
      </c>
      <c r="T10" s="8">
        <v>100000</v>
      </c>
      <c r="U10" s="8">
        <v>12500</v>
      </c>
      <c r="V10" s="34" t="s">
        <v>19</v>
      </c>
      <c r="W10" s="8">
        <v>1000000</v>
      </c>
      <c r="X10" s="8">
        <v>60000</v>
      </c>
      <c r="Y10" s="34">
        <v>10</v>
      </c>
      <c r="Z10" s="34">
        <f t="shared" ref="Z10:Z16" si="7">5000*60*60*24/Y10</f>
        <v>43200000</v>
      </c>
      <c r="AA10" s="34">
        <v>5000</v>
      </c>
      <c r="AB10" s="34">
        <v>4</v>
      </c>
      <c r="AC10" s="8">
        <v>5.78E+40</v>
      </c>
      <c r="AD10" s="24">
        <v>600</v>
      </c>
      <c r="AE10" s="26" t="s">
        <v>38</v>
      </c>
      <c r="AF10" s="45">
        <f>SQRT(X10)/(2*M10)</f>
        <v>703876.3628687294</v>
      </c>
      <c r="AG10" s="45">
        <f>(AF10/L10)^2</f>
        <v>9.7184351035573287E-5</v>
      </c>
      <c r="AH10" s="34" t="s">
        <v>35</v>
      </c>
      <c r="AI10" s="38" t="s">
        <v>107</v>
      </c>
      <c r="AJ10" s="73"/>
      <c r="AK10" s="63"/>
      <c r="AL10" s="106"/>
      <c r="AM10" s="8">
        <f>(1/AC10)*(J10)^8</f>
        <v>7.8174518716240548E-5</v>
      </c>
      <c r="AN10" s="34" t="s">
        <v>94</v>
      </c>
    </row>
    <row r="11" spans="1:40" s="70" customFormat="1">
      <c r="A11" s="70" t="s">
        <v>121</v>
      </c>
      <c r="B11" s="5" t="s">
        <v>95</v>
      </c>
      <c r="C11" s="70">
        <v>341</v>
      </c>
      <c r="F11" s="70">
        <f t="shared" si="3"/>
        <v>1024</v>
      </c>
      <c r="G11" s="70">
        <f t="shared" si="4"/>
        <v>512</v>
      </c>
      <c r="H11" s="8">
        <f>2*PI()*L11/F11</f>
        <v>438104.91302013909</v>
      </c>
      <c r="I11" s="8">
        <f>PI()*L11/G11</f>
        <v>438104.91302013909</v>
      </c>
      <c r="J11" s="8">
        <f t="shared" ref="J11:J91" si="8">COS(85*PI()/180)*L11*2*PI()/F11</f>
        <v>38183.359095668391</v>
      </c>
      <c r="K11" s="8"/>
      <c r="L11" s="8">
        <v>71400000</v>
      </c>
      <c r="M11" s="8">
        <v>1.74E-4</v>
      </c>
      <c r="N11" s="9">
        <v>0.33300000000000002</v>
      </c>
      <c r="O11" s="9">
        <v>1</v>
      </c>
      <c r="P11" s="10">
        <v>0.7</v>
      </c>
      <c r="Q11" s="8">
        <f t="shared" si="5"/>
        <v>872315.56014676578</v>
      </c>
      <c r="R11" s="8">
        <f t="shared" si="6"/>
        <v>1.9911111111111111</v>
      </c>
      <c r="S11" s="8">
        <f t="shared" ref="S11:S15" si="9">Q11/I11</f>
        <v>1.9911111111111111</v>
      </c>
      <c r="T11" s="8">
        <v>100000</v>
      </c>
      <c r="U11" s="8">
        <v>12500</v>
      </c>
      <c r="V11" s="70" t="s">
        <v>19</v>
      </c>
      <c r="W11" s="8">
        <v>1000000</v>
      </c>
      <c r="X11" s="8">
        <v>60000</v>
      </c>
      <c r="Y11" s="70">
        <v>10</v>
      </c>
      <c r="Z11" s="70">
        <f t="shared" si="7"/>
        <v>43200000</v>
      </c>
      <c r="AA11" s="70">
        <v>5000</v>
      </c>
      <c r="AB11" s="70">
        <v>4</v>
      </c>
      <c r="AC11" s="35">
        <v>5.7799999999999997E+45</v>
      </c>
      <c r="AD11" s="30">
        <v>50</v>
      </c>
      <c r="AE11" s="26" t="s">
        <v>38</v>
      </c>
      <c r="AF11" s="45">
        <f t="shared" ref="AF11:AF79" si="10">SQRT(X11)/(2*M11)</f>
        <v>703876.3628687294</v>
      </c>
      <c r="AG11" s="45">
        <f t="shared" ref="AG11:AG15" si="11">(AF11/L11)^2</f>
        <v>9.7184351035573287E-5</v>
      </c>
      <c r="AJ11" s="73"/>
      <c r="AL11" s="95"/>
      <c r="AM11" s="8">
        <f t="shared" ref="AM11:AM91" si="12">(1/AC11)*(J11)^8</f>
        <v>7.817451871624055E-10</v>
      </c>
      <c r="AN11" s="70" t="s">
        <v>95</v>
      </c>
    </row>
    <row r="12" spans="1:40" s="84" customFormat="1">
      <c r="A12" s="84" t="s">
        <v>163</v>
      </c>
      <c r="B12" s="84" t="s">
        <v>125</v>
      </c>
      <c r="C12" s="84">
        <v>341</v>
      </c>
      <c r="F12" s="84">
        <f t="shared" si="3"/>
        <v>1024</v>
      </c>
      <c r="G12" s="84">
        <f t="shared" si="4"/>
        <v>512</v>
      </c>
      <c r="H12" s="8">
        <f>2*PI()*L12/F12</f>
        <v>438104.91302013909</v>
      </c>
      <c r="I12" s="8">
        <f>PI()*L12/G12</f>
        <v>438104.91302013909</v>
      </c>
      <c r="J12" s="8">
        <f t="shared" si="8"/>
        <v>38183.359095668391</v>
      </c>
      <c r="K12" s="8"/>
      <c r="L12" s="8">
        <v>71400000</v>
      </c>
      <c r="M12" s="8">
        <v>1.74E-4</v>
      </c>
      <c r="N12" s="9">
        <v>0.33300000000000002</v>
      </c>
      <c r="O12" s="9">
        <v>1</v>
      </c>
      <c r="P12" s="10">
        <v>0.7</v>
      </c>
      <c r="Q12" s="8">
        <f t="shared" si="5"/>
        <v>872315.56014676578</v>
      </c>
      <c r="R12" s="8">
        <f t="shared" si="6"/>
        <v>1.9911111111111111</v>
      </c>
      <c r="S12" s="8">
        <f t="shared" si="9"/>
        <v>1.9911111111111111</v>
      </c>
      <c r="T12" s="8">
        <v>100000</v>
      </c>
      <c r="U12" s="8">
        <v>12500</v>
      </c>
      <c r="V12" s="84" t="s">
        <v>19</v>
      </c>
      <c r="W12" s="8">
        <v>1000000</v>
      </c>
      <c r="X12" s="8">
        <v>60000</v>
      </c>
      <c r="Y12" s="84">
        <v>10</v>
      </c>
      <c r="Z12" s="84">
        <f t="shared" si="7"/>
        <v>43200000</v>
      </c>
      <c r="AA12" s="84">
        <v>5000</v>
      </c>
      <c r="AB12" s="84">
        <v>4</v>
      </c>
      <c r="AC12" s="35">
        <v>5.7799999999999997E+45</v>
      </c>
      <c r="AD12" s="30">
        <v>50</v>
      </c>
      <c r="AE12" s="26" t="s">
        <v>38</v>
      </c>
      <c r="AF12" s="45">
        <f t="shared" si="10"/>
        <v>703876.3628687294</v>
      </c>
      <c r="AG12" s="45">
        <f t="shared" si="11"/>
        <v>9.7184351035573287E-5</v>
      </c>
      <c r="AH12" s="84" t="s">
        <v>137</v>
      </c>
      <c r="AL12" s="95"/>
      <c r="AM12" s="8">
        <f t="shared" si="12"/>
        <v>7.817451871624055E-10</v>
      </c>
      <c r="AN12" s="84" t="s">
        <v>125</v>
      </c>
    </row>
    <row r="13" spans="1:40" s="85" customFormat="1">
      <c r="A13" s="85" t="s">
        <v>174</v>
      </c>
      <c r="B13" s="85" t="s">
        <v>160</v>
      </c>
      <c r="C13" s="85">
        <v>341</v>
      </c>
      <c r="F13" s="85">
        <f t="shared" si="3"/>
        <v>1024</v>
      </c>
      <c r="G13" s="85">
        <f t="shared" si="4"/>
        <v>512</v>
      </c>
      <c r="H13" s="8">
        <f>2*PI()*L13/F13</f>
        <v>438104.91302013909</v>
      </c>
      <c r="I13" s="8">
        <f>PI()*L13/G13</f>
        <v>438104.91302013909</v>
      </c>
      <c r="J13" s="8">
        <f t="shared" ref="J13:J15" si="13">COS(85*PI()/180)*L13*2*PI()/F13</f>
        <v>38183.359095668391</v>
      </c>
      <c r="K13" s="8"/>
      <c r="L13" s="8">
        <v>71400000</v>
      </c>
      <c r="M13" s="8">
        <v>1.74E-4</v>
      </c>
      <c r="N13" s="9">
        <v>0.33300000000000002</v>
      </c>
      <c r="O13" s="9">
        <v>1</v>
      </c>
      <c r="P13" s="10">
        <v>0.7</v>
      </c>
      <c r="Q13" s="8">
        <f t="shared" si="5"/>
        <v>872315.56014676578</v>
      </c>
      <c r="R13" s="8">
        <f t="shared" si="6"/>
        <v>1.9911111111111111</v>
      </c>
      <c r="S13" s="8">
        <f t="shared" si="9"/>
        <v>1.9911111111111111</v>
      </c>
      <c r="T13" s="8">
        <v>100000</v>
      </c>
      <c r="U13" s="8">
        <v>12500</v>
      </c>
      <c r="V13" s="85" t="s">
        <v>19</v>
      </c>
      <c r="W13" s="8">
        <v>1000000</v>
      </c>
      <c r="X13" s="8">
        <v>60000</v>
      </c>
      <c r="Y13" s="85">
        <v>20</v>
      </c>
      <c r="Z13" s="85">
        <f t="shared" si="7"/>
        <v>21600000</v>
      </c>
      <c r="AA13" s="85">
        <v>5000</v>
      </c>
      <c r="AB13" s="85">
        <v>4</v>
      </c>
      <c r="AC13" s="35">
        <v>4.7000000000000002E+29</v>
      </c>
      <c r="AD13" s="30">
        <v>50</v>
      </c>
      <c r="AE13" s="26" t="s">
        <v>38</v>
      </c>
      <c r="AF13" s="45">
        <f t="shared" si="10"/>
        <v>703876.3628687294</v>
      </c>
      <c r="AG13" s="45">
        <f t="shared" si="11"/>
        <v>9.7184351035573287E-5</v>
      </c>
      <c r="AL13" s="95"/>
      <c r="AM13" s="8">
        <f t="shared" ref="AM13" si="14">(1/AC13)*(J13)^8</f>
        <v>9613802.5144653264</v>
      </c>
      <c r="AN13" s="85" t="s">
        <v>160</v>
      </c>
    </row>
    <row r="14" spans="1:40" s="87" customFormat="1">
      <c r="A14" s="87" t="s">
        <v>187</v>
      </c>
      <c r="B14" s="87" t="s">
        <v>175</v>
      </c>
      <c r="C14" s="87">
        <v>341</v>
      </c>
      <c r="F14" s="87">
        <f t="shared" si="3"/>
        <v>1024</v>
      </c>
      <c r="G14" s="87">
        <f t="shared" si="4"/>
        <v>512</v>
      </c>
      <c r="H14" s="8">
        <f>2*PI()*L14/F14</f>
        <v>438104.91302013909</v>
      </c>
      <c r="I14" s="8">
        <f>PI()*L14/G14</f>
        <v>438104.91302013909</v>
      </c>
      <c r="J14" s="8">
        <f t="shared" si="13"/>
        <v>38183.359095668391</v>
      </c>
      <c r="K14" s="8"/>
      <c r="L14" s="8">
        <v>71400000</v>
      </c>
      <c r="M14" s="8">
        <v>1.74E-4</v>
      </c>
      <c r="N14" s="9">
        <v>0.33300000000000002</v>
      </c>
      <c r="O14" s="9">
        <v>1</v>
      </c>
      <c r="P14" s="10">
        <v>0.7</v>
      </c>
      <c r="Q14" s="8">
        <f t="shared" si="5"/>
        <v>872315.56014676578</v>
      </c>
      <c r="R14" s="8">
        <f t="shared" si="6"/>
        <v>1.9911111111111111</v>
      </c>
      <c r="S14" s="8">
        <f t="shared" si="9"/>
        <v>1.9911111111111111</v>
      </c>
      <c r="T14" s="8">
        <v>100000</v>
      </c>
      <c r="U14" s="8">
        <v>12500</v>
      </c>
      <c r="V14" s="87" t="s">
        <v>19</v>
      </c>
      <c r="W14" s="8">
        <v>1000000</v>
      </c>
      <c r="X14" s="8">
        <v>60000</v>
      </c>
      <c r="Y14" s="87">
        <v>20</v>
      </c>
      <c r="Z14" s="87">
        <f t="shared" si="7"/>
        <v>21600000</v>
      </c>
      <c r="AA14" s="87">
        <v>5000</v>
      </c>
      <c r="AB14" s="87">
        <v>4</v>
      </c>
      <c r="AC14" s="35">
        <v>4.4999999999999999E+30</v>
      </c>
      <c r="AD14" s="30">
        <v>50</v>
      </c>
      <c r="AE14" s="26" t="s">
        <v>38</v>
      </c>
      <c r="AF14" s="45">
        <f t="shared" si="10"/>
        <v>703876.3628687294</v>
      </c>
      <c r="AG14" s="45">
        <f t="shared" si="11"/>
        <v>9.7184351035573287E-5</v>
      </c>
      <c r="AL14" s="95"/>
      <c r="AM14" s="8">
        <f>(1/AC14)*(J14)^8</f>
        <v>1004108.2626219342</v>
      </c>
      <c r="AN14" s="87" t="s">
        <v>175</v>
      </c>
    </row>
    <row r="15" spans="1:40" s="87" customFormat="1">
      <c r="A15" s="87" t="s">
        <v>209</v>
      </c>
      <c r="B15" s="87" t="s">
        <v>186</v>
      </c>
      <c r="C15" s="87">
        <v>341</v>
      </c>
      <c r="F15" s="87">
        <f t="shared" ref="F15" si="15">C15*3+1</f>
        <v>1024</v>
      </c>
      <c r="G15" s="87">
        <f t="shared" ref="G15" si="16">F15/2</f>
        <v>512</v>
      </c>
      <c r="H15" s="8">
        <f>2*PI()*L8/F15</f>
        <v>0</v>
      </c>
      <c r="I15" s="8">
        <f>PI()*L8/G15</f>
        <v>0</v>
      </c>
      <c r="J15" s="8">
        <f t="shared" si="13"/>
        <v>38183.359095668391</v>
      </c>
      <c r="K15" s="8"/>
      <c r="L15" s="8">
        <v>71400000</v>
      </c>
      <c r="M15" s="8">
        <v>1.74E-4</v>
      </c>
      <c r="N15" s="9">
        <v>0.33300000000000002</v>
      </c>
      <c r="O15" s="9">
        <v>1</v>
      </c>
      <c r="P15" s="10">
        <v>0.7</v>
      </c>
      <c r="Q15" s="8">
        <f t="shared" si="5"/>
        <v>872315.56014676578</v>
      </c>
      <c r="R15" s="8" t="e">
        <f t="shared" si="6"/>
        <v>#DIV/0!</v>
      </c>
      <c r="S15" s="8" t="e">
        <f t="shared" si="9"/>
        <v>#DIV/0!</v>
      </c>
      <c r="T15" s="8">
        <v>100000</v>
      </c>
      <c r="U15" s="8">
        <v>12500</v>
      </c>
      <c r="V15" s="87" t="s">
        <v>19</v>
      </c>
      <c r="W15" s="8">
        <v>1000000</v>
      </c>
      <c r="X15" s="8">
        <v>60000</v>
      </c>
      <c r="Y15" s="87">
        <v>20</v>
      </c>
      <c r="Z15" s="87">
        <f t="shared" ref="Z15" si="17">5000*60*60*24/Y15</f>
        <v>21600000</v>
      </c>
      <c r="AA15" s="87">
        <v>5000</v>
      </c>
      <c r="AB15" s="87">
        <v>4</v>
      </c>
      <c r="AC15" s="35">
        <v>4.5000000000000003E+32</v>
      </c>
      <c r="AD15" s="30">
        <v>50</v>
      </c>
      <c r="AE15" s="26" t="s">
        <v>38</v>
      </c>
      <c r="AF15" s="45">
        <f t="shared" si="10"/>
        <v>703876.3628687294</v>
      </c>
      <c r="AG15" s="45">
        <f t="shared" si="11"/>
        <v>9.7184351035573287E-5</v>
      </c>
      <c r="AL15" s="95"/>
      <c r="AM15" s="8">
        <f>(1/AC15)*(J15)^8</f>
        <v>10041.08262621934</v>
      </c>
      <c r="AN15" s="87" t="s">
        <v>186</v>
      </c>
    </row>
    <row r="16" spans="1:40" s="4" customFormat="1">
      <c r="A16" s="4" t="s">
        <v>211</v>
      </c>
      <c r="B16" s="6" t="s">
        <v>210</v>
      </c>
      <c r="C16" s="4">
        <v>341</v>
      </c>
      <c r="F16" s="4">
        <f t="shared" si="3"/>
        <v>1024</v>
      </c>
      <c r="G16" s="4">
        <f t="shared" si="4"/>
        <v>512</v>
      </c>
      <c r="H16" s="11">
        <f>2*PI()*L9/F16</f>
        <v>438104.91302013909</v>
      </c>
      <c r="I16" s="11">
        <f>PI()*L9/G16</f>
        <v>438104.91302013909</v>
      </c>
      <c r="J16" s="8">
        <f t="shared" si="8"/>
        <v>38183.359095668391</v>
      </c>
      <c r="K16" s="11"/>
      <c r="L16" s="11">
        <v>71400000</v>
      </c>
      <c r="M16" s="11">
        <v>1.74E-4</v>
      </c>
      <c r="N16" s="12">
        <v>0.33300000000000002</v>
      </c>
      <c r="O16" s="12">
        <v>1</v>
      </c>
      <c r="P16" s="13">
        <v>0.7</v>
      </c>
      <c r="Q16" s="11">
        <f t="shared" si="0"/>
        <v>872315.56014676578</v>
      </c>
      <c r="R16" s="11">
        <f t="shared" si="1"/>
        <v>1.9911111111111111</v>
      </c>
      <c r="S16" s="11">
        <f t="shared" si="2"/>
        <v>1.9911111111111111</v>
      </c>
      <c r="T16" s="11">
        <v>100000</v>
      </c>
      <c r="U16" s="11">
        <v>12500</v>
      </c>
      <c r="V16" s="4" t="s">
        <v>19</v>
      </c>
      <c r="W16" s="11">
        <v>1000000</v>
      </c>
      <c r="X16" s="11">
        <v>60000</v>
      </c>
      <c r="Y16" s="4">
        <v>10</v>
      </c>
      <c r="Z16" s="4">
        <f t="shared" si="7"/>
        <v>43200000</v>
      </c>
      <c r="AA16" s="4">
        <v>5000</v>
      </c>
      <c r="AB16" s="4">
        <v>4</v>
      </c>
      <c r="AC16" s="41">
        <v>4.4999999999999998E+38</v>
      </c>
      <c r="AD16" s="40">
        <v>50</v>
      </c>
      <c r="AE16" s="28" t="s">
        <v>38</v>
      </c>
      <c r="AF16" s="45">
        <f t="shared" si="10"/>
        <v>703876.3628687294</v>
      </c>
      <c r="AG16" s="44">
        <f t="shared" ref="AG16:AG70" si="18">(AF16/L16)^2</f>
        <v>9.7184351035573287E-5</v>
      </c>
      <c r="AI16" s="37"/>
      <c r="AJ16" s="71"/>
      <c r="AK16" s="62"/>
      <c r="AL16" s="95"/>
      <c r="AM16" s="8">
        <f>(1/AC16)*(J16)^8</f>
        <v>1.0041082626219342E-2</v>
      </c>
      <c r="AN16" s="4" t="s">
        <v>210</v>
      </c>
    </row>
    <row r="17" spans="1:40" s="15" customFormat="1">
      <c r="B17" s="14" t="s">
        <v>24</v>
      </c>
      <c r="D17" s="15">
        <v>256</v>
      </c>
      <c r="E17" s="15">
        <v>149</v>
      </c>
      <c r="F17" s="15">
        <f>D17*3</f>
        <v>768</v>
      </c>
      <c r="G17" s="15">
        <f>E17*(18/7)</f>
        <v>383.14285714285717</v>
      </c>
      <c r="H17" s="16">
        <f>2*PI()*L17/D17/3</f>
        <v>584139.88402685209</v>
      </c>
      <c r="I17" s="16">
        <f>PI()*L17*(7/18)/E17</f>
        <v>585446.68466225895</v>
      </c>
      <c r="J17" s="8">
        <f t="shared" si="8"/>
        <v>50911.145460891188</v>
      </c>
      <c r="K17" s="16"/>
      <c r="L17" s="16">
        <v>71400000</v>
      </c>
      <c r="M17" s="16">
        <v>1.74E-4</v>
      </c>
      <c r="N17" s="17">
        <v>0.1</v>
      </c>
      <c r="O17" s="17">
        <v>1</v>
      </c>
      <c r="P17" s="18">
        <v>2.1</v>
      </c>
      <c r="Q17" s="16">
        <f t="shared" si="0"/>
        <v>2616946.6804402978</v>
      </c>
      <c r="R17" s="16">
        <f t="shared" si="1"/>
        <v>4.4800000000000004</v>
      </c>
      <c r="S17" s="16">
        <f t="shared" si="2"/>
        <v>4.4700000000000006</v>
      </c>
      <c r="T17" s="16">
        <v>100000</v>
      </c>
      <c r="U17" s="16">
        <v>50000</v>
      </c>
      <c r="V17" s="15" t="s">
        <v>19</v>
      </c>
      <c r="W17" s="16">
        <v>1000000</v>
      </c>
      <c r="X17" s="16">
        <v>60000</v>
      </c>
      <c r="AB17" s="15">
        <v>4</v>
      </c>
      <c r="AD17" s="25"/>
      <c r="AE17" s="29"/>
      <c r="AF17" s="45">
        <f t="shared" si="10"/>
        <v>703876.3628687294</v>
      </c>
      <c r="AG17" s="45">
        <f t="shared" si="18"/>
        <v>9.7184351035573287E-5</v>
      </c>
      <c r="AL17" s="95"/>
      <c r="AM17" s="8" t="e">
        <f t="shared" si="12"/>
        <v>#DIV/0!</v>
      </c>
      <c r="AN17" s="14" t="s">
        <v>24</v>
      </c>
    </row>
    <row r="18" spans="1:40" s="21" customFormat="1">
      <c r="A18" s="21" t="s">
        <v>46</v>
      </c>
      <c r="B18" s="5" t="s">
        <v>42</v>
      </c>
      <c r="C18" s="21">
        <v>170</v>
      </c>
      <c r="F18" s="21">
        <f t="shared" ref="F18:F37" si="19">C18*3+2</f>
        <v>512</v>
      </c>
      <c r="G18" s="21">
        <f t="shared" ref="G18:G37" si="20">F18/2</f>
        <v>256</v>
      </c>
      <c r="H18" s="8">
        <f>2*PI()*L16/F18</f>
        <v>876209.82604027819</v>
      </c>
      <c r="I18" s="8">
        <f>PI()*L16/G18</f>
        <v>876209.82604027819</v>
      </c>
      <c r="J18" s="8">
        <f t="shared" si="8"/>
        <v>76366.718191336782</v>
      </c>
      <c r="K18" s="8"/>
      <c r="L18" s="8">
        <v>71400000</v>
      </c>
      <c r="M18" s="8">
        <v>1.74E-4</v>
      </c>
      <c r="N18" s="9">
        <v>0.1</v>
      </c>
      <c r="O18" s="9">
        <v>1</v>
      </c>
      <c r="P18" s="10">
        <v>2.1</v>
      </c>
      <c r="Q18" s="8">
        <f t="shared" ref="Q18:Q27" si="21">2*PI()*L18*(P18/360)</f>
        <v>2616946.6804402978</v>
      </c>
      <c r="R18" s="8">
        <f t="shared" ref="R18:R27" si="22">Q18/H18</f>
        <v>2.9866666666666668</v>
      </c>
      <c r="S18" s="8">
        <f t="shared" ref="S18:S27" si="23">Q18/I18</f>
        <v>2.9866666666666668</v>
      </c>
      <c r="T18" s="8">
        <v>100000</v>
      </c>
      <c r="U18" s="8">
        <v>50000</v>
      </c>
      <c r="V18" s="21" t="s">
        <v>19</v>
      </c>
      <c r="W18" s="8">
        <v>1000000</v>
      </c>
      <c r="X18" s="8">
        <v>60000</v>
      </c>
      <c r="Y18" s="21">
        <v>20</v>
      </c>
      <c r="Z18" s="8">
        <f t="shared" ref="Z18:Z37" si="24">AA18*60*60*24/Y18</f>
        <v>21600000</v>
      </c>
      <c r="AA18" s="21">
        <v>5000</v>
      </c>
      <c r="AB18" s="21">
        <v>4</v>
      </c>
      <c r="AC18" s="8">
        <v>5.78E+40</v>
      </c>
      <c r="AD18" s="24">
        <v>600</v>
      </c>
      <c r="AE18" s="26" t="s">
        <v>38</v>
      </c>
      <c r="AF18" s="45">
        <f t="shared" si="10"/>
        <v>703876.3628687294</v>
      </c>
      <c r="AG18" s="45">
        <f t="shared" si="18"/>
        <v>9.7184351035573287E-5</v>
      </c>
      <c r="AH18" s="21" t="s">
        <v>36</v>
      </c>
      <c r="AI18" s="38" t="s">
        <v>107</v>
      </c>
      <c r="AJ18" s="73"/>
      <c r="AK18" s="63"/>
      <c r="AL18" s="95"/>
      <c r="AM18" s="8">
        <f t="shared" si="12"/>
        <v>2.001267679135758E-2</v>
      </c>
      <c r="AN18" s="5" t="s">
        <v>42</v>
      </c>
    </row>
    <row r="19" spans="1:40" s="21" customFormat="1">
      <c r="A19" s="21" t="s">
        <v>46</v>
      </c>
      <c r="B19" s="5" t="s">
        <v>47</v>
      </c>
      <c r="C19" s="21">
        <v>170</v>
      </c>
      <c r="F19" s="21">
        <f t="shared" si="19"/>
        <v>512</v>
      </c>
      <c r="G19" s="21">
        <f t="shared" si="20"/>
        <v>256</v>
      </c>
      <c r="H19" s="8">
        <f>2*PI()*L16/F19</f>
        <v>876209.82604027819</v>
      </c>
      <c r="I19" s="8">
        <f>PI()*L16/G19</f>
        <v>876209.82604027819</v>
      </c>
      <c r="J19" s="8">
        <f t="shared" si="8"/>
        <v>76366.718191336782</v>
      </c>
      <c r="K19" s="8"/>
      <c r="L19" s="8">
        <v>71400000</v>
      </c>
      <c r="M19" s="8">
        <v>1.74E-4</v>
      </c>
      <c r="N19" s="9">
        <v>0.1</v>
      </c>
      <c r="O19" s="9">
        <v>1</v>
      </c>
      <c r="P19" s="10">
        <v>2.1</v>
      </c>
      <c r="Q19" s="8">
        <f t="shared" si="21"/>
        <v>2616946.6804402978</v>
      </c>
      <c r="R19" s="8">
        <f t="shared" si="22"/>
        <v>2.9866666666666668</v>
      </c>
      <c r="S19" s="8">
        <f t="shared" si="23"/>
        <v>2.9866666666666668</v>
      </c>
      <c r="T19" s="8">
        <v>100000</v>
      </c>
      <c r="U19" s="8">
        <v>50000</v>
      </c>
      <c r="V19" s="21" t="s">
        <v>19</v>
      </c>
      <c r="W19" s="8">
        <v>1000000</v>
      </c>
      <c r="X19" s="8">
        <v>60000</v>
      </c>
      <c r="Y19" s="21">
        <v>20</v>
      </c>
      <c r="Z19" s="8">
        <f t="shared" si="24"/>
        <v>21600000</v>
      </c>
      <c r="AA19" s="21">
        <v>5000</v>
      </c>
      <c r="AB19" s="21">
        <v>4</v>
      </c>
      <c r="AC19" s="8">
        <v>5.78E+40</v>
      </c>
      <c r="AD19" s="30">
        <v>50</v>
      </c>
      <c r="AE19" s="26" t="s">
        <v>38</v>
      </c>
      <c r="AF19" s="45">
        <f t="shared" si="10"/>
        <v>703876.3628687294</v>
      </c>
      <c r="AG19" s="45">
        <f t="shared" si="18"/>
        <v>9.7184351035573287E-5</v>
      </c>
      <c r="AH19" s="21" t="s">
        <v>48</v>
      </c>
      <c r="AI19" s="38" t="s">
        <v>107</v>
      </c>
      <c r="AJ19" s="73"/>
      <c r="AK19" s="63"/>
      <c r="AL19" s="95"/>
      <c r="AM19" s="8">
        <f t="shared" si="12"/>
        <v>2.001267679135758E-2</v>
      </c>
      <c r="AN19" s="5" t="s">
        <v>47</v>
      </c>
    </row>
    <row r="20" spans="1:40" s="32" customFormat="1">
      <c r="A20" s="32" t="s">
        <v>46</v>
      </c>
      <c r="B20" s="5" t="s">
        <v>49</v>
      </c>
      <c r="C20" s="32">
        <v>170</v>
      </c>
      <c r="F20" s="32">
        <f t="shared" si="19"/>
        <v>512</v>
      </c>
      <c r="G20" s="32">
        <f t="shared" si="20"/>
        <v>256</v>
      </c>
      <c r="H20" s="8">
        <f>2*PI()*L16/F20</f>
        <v>876209.82604027819</v>
      </c>
      <c r="I20" s="8">
        <f>PI()*L16/G20</f>
        <v>876209.82604027819</v>
      </c>
      <c r="J20" s="8">
        <f t="shared" si="8"/>
        <v>76366.718191336782</v>
      </c>
      <c r="K20" s="8"/>
      <c r="L20" s="8">
        <v>71400000</v>
      </c>
      <c r="M20" s="8">
        <v>1.74E-4</v>
      </c>
      <c r="N20" s="9">
        <v>0.1</v>
      </c>
      <c r="O20" s="9">
        <v>1</v>
      </c>
      <c r="P20" s="10">
        <v>2.1</v>
      </c>
      <c r="Q20" s="8">
        <f t="shared" si="21"/>
        <v>2616946.6804402978</v>
      </c>
      <c r="R20" s="8">
        <f t="shared" si="22"/>
        <v>2.9866666666666668</v>
      </c>
      <c r="S20" s="8">
        <f t="shared" si="23"/>
        <v>2.9866666666666668</v>
      </c>
      <c r="T20" s="8">
        <v>100000</v>
      </c>
      <c r="U20" s="8">
        <v>50000</v>
      </c>
      <c r="V20" s="32" t="s">
        <v>19</v>
      </c>
      <c r="W20" s="8">
        <v>1000000</v>
      </c>
      <c r="X20" s="8">
        <v>60000</v>
      </c>
      <c r="Y20" s="32">
        <v>20</v>
      </c>
      <c r="Z20" s="8">
        <f t="shared" si="24"/>
        <v>21600000</v>
      </c>
      <c r="AA20" s="32">
        <v>5000</v>
      </c>
      <c r="AB20" s="32">
        <v>4</v>
      </c>
      <c r="AC20" s="35">
        <v>5.78E+42</v>
      </c>
      <c r="AD20" s="30">
        <v>50</v>
      </c>
      <c r="AE20" s="26" t="s">
        <v>38</v>
      </c>
      <c r="AF20" s="45">
        <f t="shared" si="10"/>
        <v>703876.3628687294</v>
      </c>
      <c r="AG20" s="45">
        <f t="shared" si="18"/>
        <v>9.7184351035573287E-5</v>
      </c>
      <c r="AH20" s="32" t="s">
        <v>80</v>
      </c>
      <c r="AI20" s="38" t="s">
        <v>107</v>
      </c>
      <c r="AJ20" s="73"/>
      <c r="AK20" s="63"/>
      <c r="AL20" s="95"/>
      <c r="AM20" s="8">
        <f t="shared" si="12"/>
        <v>2.0012676791357579E-4</v>
      </c>
      <c r="AN20" s="5" t="s">
        <v>49</v>
      </c>
    </row>
    <row r="21" spans="1:40" s="32" customFormat="1">
      <c r="A21" s="32" t="s">
        <v>46</v>
      </c>
      <c r="B21" s="5" t="s">
        <v>76</v>
      </c>
      <c r="C21" s="32">
        <v>170</v>
      </c>
      <c r="F21" s="32">
        <f t="shared" si="19"/>
        <v>512</v>
      </c>
      <c r="G21" s="32">
        <f t="shared" si="20"/>
        <v>256</v>
      </c>
      <c r="H21" s="8">
        <f>2*PI()*L21/F21</f>
        <v>876209.82604027819</v>
      </c>
      <c r="I21" s="8">
        <f>PI()*L16/G21</f>
        <v>876209.82604027819</v>
      </c>
      <c r="J21" s="8">
        <f t="shared" si="8"/>
        <v>76366.718191336782</v>
      </c>
      <c r="K21" s="8"/>
      <c r="L21" s="8">
        <v>71400000</v>
      </c>
      <c r="M21" s="8">
        <v>1.74E-4</v>
      </c>
      <c r="N21" s="9">
        <v>0.1</v>
      </c>
      <c r="O21" s="9">
        <v>1</v>
      </c>
      <c r="P21" s="10">
        <v>2.1</v>
      </c>
      <c r="Q21" s="8">
        <f t="shared" ref="Q21:Q22" si="25">2*PI()*L21*(P21/360)</f>
        <v>2616946.6804402978</v>
      </c>
      <c r="R21" s="8">
        <f t="shared" ref="R21:R22" si="26">Q21/H21</f>
        <v>2.9866666666666668</v>
      </c>
      <c r="S21" s="8">
        <f>Q21/I21</f>
        <v>2.9866666666666668</v>
      </c>
      <c r="T21" s="8">
        <v>100000</v>
      </c>
      <c r="U21" s="8">
        <v>50000</v>
      </c>
      <c r="V21" s="32" t="s">
        <v>19</v>
      </c>
      <c r="W21" s="8">
        <v>1000000</v>
      </c>
      <c r="X21" s="8">
        <v>60000</v>
      </c>
      <c r="Y21" s="36">
        <v>10</v>
      </c>
      <c r="Z21" s="8">
        <f t="shared" si="24"/>
        <v>43200000</v>
      </c>
      <c r="AA21" s="32">
        <v>5000</v>
      </c>
      <c r="AB21" s="32">
        <v>4</v>
      </c>
      <c r="AC21" s="35">
        <v>5.7800000000000003E+43</v>
      </c>
      <c r="AD21" s="30">
        <v>50</v>
      </c>
      <c r="AE21" s="26" t="s">
        <v>38</v>
      </c>
      <c r="AF21" s="45">
        <f t="shared" si="10"/>
        <v>703876.3628687294</v>
      </c>
      <c r="AG21" s="45">
        <f t="shared" si="18"/>
        <v>9.7184351035573287E-5</v>
      </c>
      <c r="AH21" s="34" t="s">
        <v>92</v>
      </c>
      <c r="AI21" s="38" t="s">
        <v>107</v>
      </c>
      <c r="AJ21" s="73"/>
      <c r="AK21" s="63"/>
      <c r="AL21" s="95"/>
      <c r="AM21" s="8">
        <f t="shared" si="12"/>
        <v>2.0012676791357577E-5</v>
      </c>
      <c r="AN21" s="5" t="s">
        <v>76</v>
      </c>
    </row>
    <row r="22" spans="1:40" s="32" customFormat="1">
      <c r="A22" s="32" t="s">
        <v>101</v>
      </c>
      <c r="B22" s="5" t="s">
        <v>77</v>
      </c>
      <c r="C22" s="32">
        <v>170</v>
      </c>
      <c r="F22" s="32">
        <f t="shared" si="19"/>
        <v>512</v>
      </c>
      <c r="G22" s="32">
        <f t="shared" si="20"/>
        <v>256</v>
      </c>
      <c r="H22" s="8">
        <f>2*PI()*L9/F22</f>
        <v>876209.82604027819</v>
      </c>
      <c r="I22" s="8">
        <f>PI()*L9/G22</f>
        <v>876209.82604027819</v>
      </c>
      <c r="J22" s="8">
        <f t="shared" si="8"/>
        <v>76366.718191336782</v>
      </c>
      <c r="K22" s="8"/>
      <c r="L22" s="8">
        <v>71400000</v>
      </c>
      <c r="M22" s="8">
        <v>1.74E-4</v>
      </c>
      <c r="N22" s="9">
        <v>0.1</v>
      </c>
      <c r="O22" s="9">
        <v>1</v>
      </c>
      <c r="P22" s="10">
        <v>2.1</v>
      </c>
      <c r="Q22" s="8">
        <f t="shared" si="25"/>
        <v>2616946.6804402978</v>
      </c>
      <c r="R22" s="8">
        <f t="shared" si="26"/>
        <v>2.9866666666666668</v>
      </c>
      <c r="S22" s="8">
        <f t="shared" ref="S22" si="27">Q22/I22</f>
        <v>2.9866666666666668</v>
      </c>
      <c r="T22" s="8">
        <v>100000</v>
      </c>
      <c r="U22" s="8">
        <v>50000</v>
      </c>
      <c r="V22" s="32" t="s">
        <v>19</v>
      </c>
      <c r="W22" s="8">
        <v>1000000</v>
      </c>
      <c r="X22" s="8">
        <v>60000</v>
      </c>
      <c r="Y22" s="36">
        <v>10</v>
      </c>
      <c r="Z22" s="8">
        <f t="shared" si="24"/>
        <v>43200000</v>
      </c>
      <c r="AA22" s="32">
        <v>5000</v>
      </c>
      <c r="AB22" s="32">
        <v>4</v>
      </c>
      <c r="AC22" s="35">
        <v>5.7799999999999999E+44</v>
      </c>
      <c r="AD22" s="30">
        <v>50</v>
      </c>
      <c r="AE22" s="26" t="s">
        <v>38</v>
      </c>
      <c r="AF22" s="45">
        <f t="shared" si="10"/>
        <v>703876.3628687294</v>
      </c>
      <c r="AG22" s="45">
        <f t="shared" si="18"/>
        <v>9.7184351035573287E-5</v>
      </c>
      <c r="AH22" s="32" t="s">
        <v>100</v>
      </c>
      <c r="AI22" s="38" t="s">
        <v>107</v>
      </c>
      <c r="AJ22" s="73"/>
      <c r="AK22" s="63"/>
      <c r="AL22" s="95"/>
      <c r="AM22" s="8">
        <f t="shared" si="12"/>
        <v>2.0012676791357582E-6</v>
      </c>
      <c r="AN22" s="5" t="s">
        <v>77</v>
      </c>
    </row>
    <row r="23" spans="1:40" s="46" customFormat="1">
      <c r="A23" s="46" t="s">
        <v>138</v>
      </c>
      <c r="B23" s="47" t="s">
        <v>78</v>
      </c>
      <c r="C23" s="46">
        <v>170</v>
      </c>
      <c r="F23" s="46">
        <f t="shared" si="19"/>
        <v>512</v>
      </c>
      <c r="G23" s="46">
        <f t="shared" si="20"/>
        <v>256</v>
      </c>
      <c r="H23" s="48">
        <f>2*PI()*L16/F23</f>
        <v>876209.82604027819</v>
      </c>
      <c r="I23" s="48">
        <f>PI()*L16/G23</f>
        <v>876209.82604027819</v>
      </c>
      <c r="J23" s="8">
        <f t="shared" si="8"/>
        <v>76366.718191336782</v>
      </c>
      <c r="K23" s="48"/>
      <c r="L23" s="48">
        <v>71400000</v>
      </c>
      <c r="M23" s="48">
        <v>1.74E-4</v>
      </c>
      <c r="N23" s="49">
        <v>0.1</v>
      </c>
      <c r="O23" s="49">
        <v>1</v>
      </c>
      <c r="P23" s="50">
        <v>2.1</v>
      </c>
      <c r="Q23" s="48">
        <f t="shared" si="21"/>
        <v>2616946.6804402978</v>
      </c>
      <c r="R23" s="48">
        <f t="shared" si="22"/>
        <v>2.9866666666666668</v>
      </c>
      <c r="S23" s="48">
        <f t="shared" si="23"/>
        <v>2.9866666666666668</v>
      </c>
      <c r="T23" s="48">
        <v>100000</v>
      </c>
      <c r="U23" s="48">
        <v>50000</v>
      </c>
      <c r="V23" s="46" t="s">
        <v>19</v>
      </c>
      <c r="W23" s="48">
        <v>1000000</v>
      </c>
      <c r="X23" s="48">
        <v>60000</v>
      </c>
      <c r="Y23" s="46">
        <v>10</v>
      </c>
      <c r="Z23" s="48">
        <f t="shared" si="24"/>
        <v>43200000</v>
      </c>
      <c r="AA23" s="46">
        <v>5000</v>
      </c>
      <c r="AB23" s="46">
        <v>4</v>
      </c>
      <c r="AC23" s="48">
        <v>5.7799999999999997E+45</v>
      </c>
      <c r="AD23" s="51">
        <v>50</v>
      </c>
      <c r="AE23" s="52" t="s">
        <v>38</v>
      </c>
      <c r="AF23" s="45">
        <f t="shared" si="10"/>
        <v>703876.3628687294</v>
      </c>
      <c r="AG23" s="53">
        <f t="shared" si="18"/>
        <v>9.7184351035573287E-5</v>
      </c>
      <c r="AI23" s="46" t="s">
        <v>119</v>
      </c>
      <c r="AJ23" s="46" t="s">
        <v>140</v>
      </c>
      <c r="AM23" s="8">
        <f t="shared" si="12"/>
        <v>2.0012676791357581E-7</v>
      </c>
      <c r="AN23" s="47" t="s">
        <v>78</v>
      </c>
    </row>
    <row r="24" spans="1:40" s="46" customFormat="1">
      <c r="A24" s="46" t="s">
        <v>149</v>
      </c>
      <c r="B24" s="47" t="s">
        <v>79</v>
      </c>
      <c r="C24" s="46">
        <v>170</v>
      </c>
      <c r="F24" s="46">
        <f t="shared" si="19"/>
        <v>512</v>
      </c>
      <c r="G24" s="46">
        <f t="shared" si="20"/>
        <v>256</v>
      </c>
      <c r="H24" s="48">
        <f>2*PI()*L16/F24</f>
        <v>876209.82604027819</v>
      </c>
      <c r="I24" s="48">
        <f>PI()*L16/G24</f>
        <v>876209.82604027819</v>
      </c>
      <c r="J24" s="48">
        <f t="shared" si="8"/>
        <v>76366.718191336782</v>
      </c>
      <c r="K24" s="48"/>
      <c r="L24" s="48">
        <v>71400000</v>
      </c>
      <c r="M24" s="48">
        <v>1.74E-4</v>
      </c>
      <c r="N24" s="49">
        <v>0.1</v>
      </c>
      <c r="O24" s="49">
        <v>1</v>
      </c>
      <c r="P24" s="50">
        <v>2.1</v>
      </c>
      <c r="Q24" s="48">
        <f t="shared" si="21"/>
        <v>2616946.6804402978</v>
      </c>
      <c r="R24" s="48">
        <f t="shared" si="22"/>
        <v>2.9866666666666668</v>
      </c>
      <c r="S24" s="48">
        <f t="shared" si="23"/>
        <v>2.9866666666666668</v>
      </c>
      <c r="T24" s="48">
        <v>100000</v>
      </c>
      <c r="U24" s="48">
        <v>50000</v>
      </c>
      <c r="V24" s="46" t="s">
        <v>19</v>
      </c>
      <c r="W24" s="48">
        <v>1000000</v>
      </c>
      <c r="X24" s="48">
        <v>60000</v>
      </c>
      <c r="Y24" s="46">
        <v>10</v>
      </c>
      <c r="Z24" s="48">
        <f t="shared" si="24"/>
        <v>43200000</v>
      </c>
      <c r="AA24" s="46">
        <v>5000</v>
      </c>
      <c r="AB24" s="46">
        <v>4</v>
      </c>
      <c r="AC24" s="48">
        <v>5.7799999999999997E+46</v>
      </c>
      <c r="AD24" s="51">
        <v>50</v>
      </c>
      <c r="AE24" s="52" t="s">
        <v>38</v>
      </c>
      <c r="AF24" s="45">
        <f t="shared" si="10"/>
        <v>703876.3628687294</v>
      </c>
      <c r="AG24" s="53">
        <f t="shared" si="18"/>
        <v>9.7184351035573287E-5</v>
      </c>
      <c r="AM24" s="48">
        <f t="shared" si="12"/>
        <v>2.0012676791357582E-8</v>
      </c>
      <c r="AN24" s="47" t="s">
        <v>79</v>
      </c>
    </row>
    <row r="25" spans="1:40" s="32" customFormat="1">
      <c r="A25" s="32">
        <v>891</v>
      </c>
      <c r="B25" s="5" t="s">
        <v>81</v>
      </c>
      <c r="C25" s="32">
        <v>170</v>
      </c>
      <c r="F25" s="32">
        <f t="shared" si="19"/>
        <v>512</v>
      </c>
      <c r="G25" s="32">
        <f t="shared" si="20"/>
        <v>256</v>
      </c>
      <c r="H25" s="8">
        <f>2*PI()*L9/F25</f>
        <v>876209.82604027819</v>
      </c>
      <c r="I25" s="8">
        <f>PI()*L9/G25</f>
        <v>876209.82604027819</v>
      </c>
      <c r="J25" s="8">
        <f t="shared" si="8"/>
        <v>76366.718191336782</v>
      </c>
      <c r="K25" s="8"/>
      <c r="L25" s="8">
        <v>71400000</v>
      </c>
      <c r="M25" s="8">
        <v>1.74E-4</v>
      </c>
      <c r="N25" s="9">
        <v>0.1</v>
      </c>
      <c r="O25" s="9">
        <v>1</v>
      </c>
      <c r="P25" s="10">
        <v>2.1</v>
      </c>
      <c r="Q25" s="8">
        <f t="shared" si="21"/>
        <v>2616946.6804402978</v>
      </c>
      <c r="R25" s="8">
        <f t="shared" si="22"/>
        <v>2.9866666666666668</v>
      </c>
      <c r="S25" s="8">
        <f t="shared" si="23"/>
        <v>2.9866666666666668</v>
      </c>
      <c r="T25" s="8">
        <v>100000</v>
      </c>
      <c r="U25" s="8">
        <v>50000</v>
      </c>
      <c r="V25" s="32" t="s">
        <v>19</v>
      </c>
      <c r="W25" s="8">
        <v>1000000</v>
      </c>
      <c r="X25" s="8">
        <v>60000</v>
      </c>
      <c r="Y25" s="36">
        <v>10</v>
      </c>
      <c r="Z25" s="8">
        <f t="shared" si="24"/>
        <v>43200000</v>
      </c>
      <c r="AA25" s="32">
        <v>5000</v>
      </c>
      <c r="AB25" s="32">
        <v>4</v>
      </c>
      <c r="AC25" s="35">
        <v>5.7800000000000001E+47</v>
      </c>
      <c r="AD25" s="30">
        <v>50</v>
      </c>
      <c r="AE25" s="26" t="s">
        <v>38</v>
      </c>
      <c r="AF25" s="45">
        <f t="shared" si="10"/>
        <v>703876.3628687294</v>
      </c>
      <c r="AG25" s="45">
        <f t="shared" si="18"/>
        <v>9.7184351035573287E-5</v>
      </c>
      <c r="AH25" s="32" t="s">
        <v>91</v>
      </c>
      <c r="AI25" s="38"/>
      <c r="AJ25" s="73"/>
      <c r="AK25" s="63"/>
      <c r="AL25" s="95"/>
      <c r="AM25" s="8">
        <f t="shared" si="12"/>
        <v>2.001267679135758E-9</v>
      </c>
      <c r="AN25" s="5" t="s">
        <v>81</v>
      </c>
    </row>
    <row r="26" spans="1:40" s="32" customFormat="1">
      <c r="A26" s="77">
        <v>686</v>
      </c>
      <c r="B26" s="5" t="s">
        <v>82</v>
      </c>
      <c r="C26" s="32">
        <v>170</v>
      </c>
      <c r="F26" s="32">
        <f t="shared" si="19"/>
        <v>512</v>
      </c>
      <c r="G26" s="32">
        <f t="shared" si="20"/>
        <v>256</v>
      </c>
      <c r="H26" s="8">
        <f>2*PI()*L16/F26</f>
        <v>876209.82604027819</v>
      </c>
      <c r="I26" s="8">
        <f>PI()*L16/G26</f>
        <v>876209.82604027819</v>
      </c>
      <c r="J26" s="8">
        <f t="shared" si="8"/>
        <v>76366.718191336782</v>
      </c>
      <c r="K26" s="8"/>
      <c r="L26" s="8">
        <v>71400000</v>
      </c>
      <c r="M26" s="8">
        <v>1.74E-4</v>
      </c>
      <c r="N26" s="9">
        <v>0.1</v>
      </c>
      <c r="O26" s="9">
        <v>1</v>
      </c>
      <c r="P26" s="10">
        <v>2.1</v>
      </c>
      <c r="Q26" s="8">
        <f t="shared" si="21"/>
        <v>2616946.6804402978</v>
      </c>
      <c r="R26" s="8">
        <f t="shared" si="22"/>
        <v>2.9866666666666668</v>
      </c>
      <c r="S26" s="8">
        <f t="shared" si="23"/>
        <v>2.9866666666666668</v>
      </c>
      <c r="T26" s="8">
        <v>100000</v>
      </c>
      <c r="U26" s="8">
        <v>50000</v>
      </c>
      <c r="V26" s="32" t="s">
        <v>19</v>
      </c>
      <c r="W26" s="8">
        <v>1000000</v>
      </c>
      <c r="X26" s="8">
        <v>60000</v>
      </c>
      <c r="Y26" s="36">
        <v>10</v>
      </c>
      <c r="Z26" s="8">
        <f t="shared" si="24"/>
        <v>43200000</v>
      </c>
      <c r="AA26" s="32">
        <v>5000</v>
      </c>
      <c r="AB26" s="32">
        <v>4</v>
      </c>
      <c r="AC26" s="35">
        <v>5.7800000000000003E+48</v>
      </c>
      <c r="AD26" s="30">
        <v>50</v>
      </c>
      <c r="AE26" s="26" t="s">
        <v>38</v>
      </c>
      <c r="AF26" s="45">
        <f t="shared" si="10"/>
        <v>703876.3628687294</v>
      </c>
      <c r="AG26" s="45">
        <f t="shared" si="18"/>
        <v>9.7184351035573287E-5</v>
      </c>
      <c r="AI26" s="38"/>
      <c r="AJ26" s="73"/>
      <c r="AK26" s="63"/>
      <c r="AL26" s="95"/>
      <c r="AM26" s="8">
        <f t="shared" si="12"/>
        <v>2.0012676791357581E-10</v>
      </c>
      <c r="AN26" s="5" t="s">
        <v>82</v>
      </c>
    </row>
    <row r="27" spans="1:40" s="32" customFormat="1">
      <c r="A27" s="77">
        <v>775</v>
      </c>
      <c r="B27" s="5" t="s">
        <v>83</v>
      </c>
      <c r="C27" s="32">
        <v>170</v>
      </c>
      <c r="F27" s="32">
        <f t="shared" si="19"/>
        <v>512</v>
      </c>
      <c r="G27" s="32">
        <f t="shared" si="20"/>
        <v>256</v>
      </c>
      <c r="H27" s="8">
        <f t="shared" ref="H27" si="28">2*PI()*L16/F27</f>
        <v>876209.82604027819</v>
      </c>
      <c r="I27" s="8">
        <f t="shared" ref="I27" si="29">PI()*L16/G27</f>
        <v>876209.82604027819</v>
      </c>
      <c r="J27" s="8">
        <f t="shared" si="8"/>
        <v>76366.718191336782</v>
      </c>
      <c r="K27" s="8"/>
      <c r="L27" s="8">
        <v>71400000</v>
      </c>
      <c r="M27" s="8">
        <v>1.74E-4</v>
      </c>
      <c r="N27" s="9">
        <v>0.1</v>
      </c>
      <c r="O27" s="9">
        <v>1</v>
      </c>
      <c r="P27" s="10">
        <v>2.1</v>
      </c>
      <c r="Q27" s="8">
        <f t="shared" si="21"/>
        <v>2616946.6804402978</v>
      </c>
      <c r="R27" s="8">
        <f t="shared" si="22"/>
        <v>2.9866666666666668</v>
      </c>
      <c r="S27" s="8">
        <f t="shared" si="23"/>
        <v>2.9866666666666668</v>
      </c>
      <c r="T27" s="8">
        <v>100000</v>
      </c>
      <c r="U27" s="8">
        <v>50000</v>
      </c>
      <c r="V27" s="32" t="s">
        <v>19</v>
      </c>
      <c r="W27" s="8">
        <v>1000000</v>
      </c>
      <c r="X27" s="8">
        <v>60000</v>
      </c>
      <c r="Y27" s="36">
        <v>10</v>
      </c>
      <c r="Z27" s="8">
        <f t="shared" si="24"/>
        <v>43200000</v>
      </c>
      <c r="AA27" s="32">
        <v>5000</v>
      </c>
      <c r="AB27" s="32">
        <v>4</v>
      </c>
      <c r="AC27" s="35">
        <v>5.7800000000000004E+49</v>
      </c>
      <c r="AD27" s="30">
        <v>50</v>
      </c>
      <c r="AE27" s="26" t="s">
        <v>38</v>
      </c>
      <c r="AF27" s="45">
        <f t="shared" si="10"/>
        <v>703876.3628687294</v>
      </c>
      <c r="AG27" s="45">
        <f t="shared" si="18"/>
        <v>9.7184351035573287E-5</v>
      </c>
      <c r="AI27" s="38"/>
      <c r="AJ27" s="73"/>
      <c r="AK27" s="63"/>
      <c r="AL27" s="95"/>
      <c r="AM27" s="8">
        <f t="shared" si="12"/>
        <v>2.0012676791357579E-11</v>
      </c>
      <c r="AN27" s="5" t="s">
        <v>83</v>
      </c>
    </row>
    <row r="28" spans="1:40" s="77" customFormat="1">
      <c r="A28" s="77" t="s">
        <v>158</v>
      </c>
      <c r="B28" s="5" t="s">
        <v>84</v>
      </c>
      <c r="C28" s="77">
        <v>170</v>
      </c>
      <c r="F28" s="77">
        <f t="shared" ref="F28" si="30">C28*3+2</f>
        <v>512</v>
      </c>
      <c r="G28" s="77">
        <f t="shared" ref="G28" si="31">F28/2</f>
        <v>256</v>
      </c>
      <c r="H28" s="8">
        <f>2*PI()*L16/F28</f>
        <v>876209.82604027819</v>
      </c>
      <c r="I28" s="8">
        <f>PI()*L16/G28</f>
        <v>876209.82604027819</v>
      </c>
      <c r="J28" s="8">
        <f t="shared" si="8"/>
        <v>76366.718191336782</v>
      </c>
      <c r="K28" s="8"/>
      <c r="L28" s="8">
        <v>71400000</v>
      </c>
      <c r="M28" s="8">
        <v>1.74E-4</v>
      </c>
      <c r="N28" s="9">
        <v>0.1</v>
      </c>
      <c r="O28" s="9">
        <v>1</v>
      </c>
      <c r="P28" s="10">
        <v>2.1</v>
      </c>
      <c r="Q28" s="8">
        <f t="shared" ref="Q28:Q37" si="32">2*PI()*L28*(P28/360)</f>
        <v>2616946.6804402978</v>
      </c>
      <c r="R28" s="8">
        <f t="shared" ref="R28:R37" si="33">Q28/H28</f>
        <v>2.9866666666666668</v>
      </c>
      <c r="S28" s="8">
        <f t="shared" ref="S28:S37" si="34">Q28/I28</f>
        <v>2.9866666666666668</v>
      </c>
      <c r="T28" s="8">
        <v>100000</v>
      </c>
      <c r="U28" s="8">
        <v>50000</v>
      </c>
      <c r="V28" s="77" t="s">
        <v>19</v>
      </c>
      <c r="W28" s="8">
        <v>1000000</v>
      </c>
      <c r="X28" s="8">
        <v>60000</v>
      </c>
      <c r="Y28" s="36">
        <v>10</v>
      </c>
      <c r="Z28" s="8">
        <f t="shared" ref="Z28" si="35">AA28*60*60*24/Y28</f>
        <v>43200000</v>
      </c>
      <c r="AA28" s="77">
        <v>5000</v>
      </c>
      <c r="AB28" s="77">
        <v>4</v>
      </c>
      <c r="AC28" s="35">
        <v>5.7800000000000004E+50</v>
      </c>
      <c r="AD28" s="30">
        <v>50</v>
      </c>
      <c r="AE28" s="26" t="s">
        <v>38</v>
      </c>
      <c r="AF28" s="45">
        <f t="shared" si="10"/>
        <v>703876.3628687294</v>
      </c>
      <c r="AG28" s="45">
        <f t="shared" ref="AG28" si="36">(AF28/L28)^2</f>
        <v>9.7184351035573287E-5</v>
      </c>
      <c r="AL28" s="95"/>
      <c r="AM28" s="8">
        <f t="shared" si="12"/>
        <v>2.0012676791357579E-12</v>
      </c>
      <c r="AN28" s="5" t="s">
        <v>84</v>
      </c>
    </row>
    <row r="29" spans="1:40" s="32" customFormat="1">
      <c r="A29" s="77" t="s">
        <v>157</v>
      </c>
      <c r="B29" s="5" t="s">
        <v>87</v>
      </c>
      <c r="C29" s="32">
        <v>170</v>
      </c>
      <c r="F29" s="32">
        <f t="shared" si="19"/>
        <v>512</v>
      </c>
      <c r="G29" s="32">
        <f t="shared" si="20"/>
        <v>256</v>
      </c>
      <c r="H29" s="8">
        <f>2*PI()*L17/F29</f>
        <v>876209.82604027819</v>
      </c>
      <c r="I29" s="8">
        <f>PI()*L17/G29</f>
        <v>876209.82604027819</v>
      </c>
      <c r="J29" s="8">
        <f t="shared" si="8"/>
        <v>76366.718191336782</v>
      </c>
      <c r="K29" s="8"/>
      <c r="L29" s="8">
        <v>71400000</v>
      </c>
      <c r="M29" s="8">
        <v>1.74E-4</v>
      </c>
      <c r="N29" s="9">
        <v>0.1</v>
      </c>
      <c r="O29" s="9">
        <v>1</v>
      </c>
      <c r="P29" s="10">
        <v>2.1</v>
      </c>
      <c r="Q29" s="8">
        <f t="shared" si="32"/>
        <v>2616946.6804402978</v>
      </c>
      <c r="R29" s="8">
        <f t="shared" si="33"/>
        <v>2.9866666666666668</v>
      </c>
      <c r="S29" s="8">
        <f t="shared" si="34"/>
        <v>2.9866666666666668</v>
      </c>
      <c r="T29" s="8">
        <v>100000</v>
      </c>
      <c r="U29" s="8">
        <v>50000</v>
      </c>
      <c r="V29" s="32" t="s">
        <v>19</v>
      </c>
      <c r="W29" s="8">
        <v>1000000</v>
      </c>
      <c r="X29" s="8">
        <v>60000</v>
      </c>
      <c r="Y29" s="36">
        <v>10</v>
      </c>
      <c r="Z29" s="8">
        <f t="shared" si="24"/>
        <v>43200000</v>
      </c>
      <c r="AA29" s="32">
        <v>5000</v>
      </c>
      <c r="AB29" s="32">
        <v>4</v>
      </c>
      <c r="AC29" s="35">
        <v>5.7800000000000001E+51</v>
      </c>
      <c r="AD29" s="30">
        <v>50</v>
      </c>
      <c r="AE29" s="26" t="s">
        <v>38</v>
      </c>
      <c r="AF29" s="45">
        <f t="shared" si="10"/>
        <v>703876.3628687294</v>
      </c>
      <c r="AG29" s="45">
        <f t="shared" si="18"/>
        <v>9.7184351035573287E-5</v>
      </c>
      <c r="AI29" s="38"/>
      <c r="AJ29" s="73"/>
      <c r="AK29" s="63"/>
      <c r="AL29" s="95"/>
      <c r="AM29" s="8">
        <f t="shared" si="12"/>
        <v>2.0012676791357581E-13</v>
      </c>
      <c r="AN29" s="5" t="s">
        <v>87</v>
      </c>
    </row>
    <row r="30" spans="1:40" s="32" customFormat="1">
      <c r="A30" s="32" t="s">
        <v>46</v>
      </c>
      <c r="B30" s="5" t="s">
        <v>88</v>
      </c>
      <c r="C30" s="32">
        <v>170</v>
      </c>
      <c r="F30" s="32">
        <f t="shared" si="19"/>
        <v>512</v>
      </c>
      <c r="G30" s="32">
        <f t="shared" si="20"/>
        <v>256</v>
      </c>
      <c r="H30" s="8">
        <f>2*PI()*L19/F30</f>
        <v>876209.82604027819</v>
      </c>
      <c r="I30" s="8">
        <f>PI()*L19/G30</f>
        <v>876209.82604027819</v>
      </c>
      <c r="J30" s="8">
        <f t="shared" si="8"/>
        <v>76366.718191336782</v>
      </c>
      <c r="K30" s="8"/>
      <c r="L30" s="8">
        <v>71400000</v>
      </c>
      <c r="M30" s="8">
        <v>1.74E-4</v>
      </c>
      <c r="N30" s="9">
        <v>0.1</v>
      </c>
      <c r="O30" s="9">
        <v>1</v>
      </c>
      <c r="P30" s="10">
        <v>2.1</v>
      </c>
      <c r="Q30" s="8">
        <f t="shared" si="32"/>
        <v>2616946.6804402978</v>
      </c>
      <c r="R30" s="8">
        <f t="shared" si="33"/>
        <v>2.9866666666666668</v>
      </c>
      <c r="S30" s="8">
        <f t="shared" si="34"/>
        <v>2.9866666666666668</v>
      </c>
      <c r="T30" s="8">
        <v>100000</v>
      </c>
      <c r="U30" s="8">
        <v>50000</v>
      </c>
      <c r="V30" s="32" t="s">
        <v>19</v>
      </c>
      <c r="W30" s="8">
        <v>1000000</v>
      </c>
      <c r="X30" s="8">
        <v>60000</v>
      </c>
      <c r="Y30" s="36">
        <v>5</v>
      </c>
      <c r="Z30" s="8">
        <f t="shared" si="24"/>
        <v>86400000</v>
      </c>
      <c r="AA30" s="32">
        <v>5000</v>
      </c>
      <c r="AB30" s="32">
        <v>4</v>
      </c>
      <c r="AC30" s="35">
        <v>5.7800000000000003E+43</v>
      </c>
      <c r="AD30" s="30">
        <v>50</v>
      </c>
      <c r="AE30" s="26" t="s">
        <v>38</v>
      </c>
      <c r="AF30" s="45">
        <f t="shared" si="10"/>
        <v>703876.3628687294</v>
      </c>
      <c r="AG30" s="45">
        <f t="shared" si="18"/>
        <v>9.7184351035573287E-5</v>
      </c>
      <c r="AH30" s="34" t="s">
        <v>92</v>
      </c>
      <c r="AI30" s="38" t="s">
        <v>107</v>
      </c>
      <c r="AJ30" s="73"/>
      <c r="AK30" s="63"/>
      <c r="AL30" s="95"/>
      <c r="AM30" s="8">
        <f t="shared" si="12"/>
        <v>2.0012676791357577E-5</v>
      </c>
      <c r="AN30" s="5" t="s">
        <v>88</v>
      </c>
    </row>
    <row r="31" spans="1:40" s="85" customFormat="1">
      <c r="A31" s="85" t="s">
        <v>168</v>
      </c>
      <c r="B31" s="85" t="s">
        <v>89</v>
      </c>
      <c r="C31" s="85">
        <v>170</v>
      </c>
      <c r="F31" s="85">
        <f t="shared" ref="F31:F36" si="37">C31*3+2</f>
        <v>512</v>
      </c>
      <c r="G31" s="85">
        <f t="shared" ref="G31:G36" si="38">F31/2</f>
        <v>256</v>
      </c>
      <c r="H31" s="8">
        <f>2*PI()*L19/F31</f>
        <v>876209.82604027819</v>
      </c>
      <c r="I31" s="8">
        <f>PI()*L19/G31</f>
        <v>876209.82604027819</v>
      </c>
      <c r="J31" s="8">
        <f t="shared" ref="J31:J36" si="39">COS(85*PI()/180)*L31*2*PI()/F31</f>
        <v>76366.718191336782</v>
      </c>
      <c r="K31" s="8"/>
      <c r="L31" s="8">
        <v>71400000</v>
      </c>
      <c r="M31" s="8">
        <v>1.74E-4</v>
      </c>
      <c r="N31" s="9">
        <v>0.1</v>
      </c>
      <c r="O31" s="9">
        <v>1</v>
      </c>
      <c r="P31" s="10">
        <v>2.1</v>
      </c>
      <c r="Q31" s="8">
        <f t="shared" si="32"/>
        <v>2616946.6804402978</v>
      </c>
      <c r="R31" s="8">
        <f t="shared" si="33"/>
        <v>2.9866666666666668</v>
      </c>
      <c r="S31" s="8">
        <f t="shared" si="34"/>
        <v>2.9866666666666668</v>
      </c>
      <c r="T31" s="8">
        <v>100000</v>
      </c>
      <c r="U31" s="8">
        <v>50000</v>
      </c>
      <c r="V31" s="85" t="s">
        <v>19</v>
      </c>
      <c r="W31" s="8">
        <v>1000000</v>
      </c>
      <c r="X31" s="8">
        <v>60000</v>
      </c>
      <c r="Y31" s="36">
        <v>20</v>
      </c>
      <c r="Z31" s="8">
        <f t="shared" ref="Z31:Z36" si="40">AA31*60*60*24/Y31</f>
        <v>21600000</v>
      </c>
      <c r="AA31" s="85">
        <v>5000</v>
      </c>
      <c r="AB31" s="85">
        <v>4</v>
      </c>
      <c r="AC31" s="35">
        <v>1.2E+32</v>
      </c>
      <c r="AD31" s="30">
        <v>50</v>
      </c>
      <c r="AE31" s="26" t="s">
        <v>38</v>
      </c>
      <c r="AF31" s="45">
        <f t="shared" si="10"/>
        <v>703876.3628687294</v>
      </c>
      <c r="AG31" s="45">
        <f t="shared" ref="AG31:AG36" si="41">(AF31/L31)^2</f>
        <v>9.7184351035573287E-5</v>
      </c>
      <c r="AH31" s="85" t="s">
        <v>169</v>
      </c>
      <c r="AL31" s="95"/>
      <c r="AM31" s="8">
        <f t="shared" ref="AM31:AM36" si="42">(1/AC31)*(J31)^8</f>
        <v>9639439.3211705685</v>
      </c>
      <c r="AN31" s="85" t="s">
        <v>89</v>
      </c>
    </row>
    <row r="32" spans="1:40" s="85" customFormat="1">
      <c r="A32" s="85" t="s">
        <v>188</v>
      </c>
      <c r="B32" s="85" t="s">
        <v>178</v>
      </c>
      <c r="C32" s="85">
        <v>170</v>
      </c>
      <c r="F32" s="85">
        <f t="shared" si="37"/>
        <v>512</v>
      </c>
      <c r="G32" s="85">
        <f t="shared" si="38"/>
        <v>256</v>
      </c>
      <c r="H32" s="8">
        <f>2*PI()*L19/F32</f>
        <v>876209.82604027819</v>
      </c>
      <c r="I32" s="8">
        <f>PI()*L19/G32</f>
        <v>876209.82604027819</v>
      </c>
      <c r="J32" s="8">
        <f t="shared" si="39"/>
        <v>76366.718191336782</v>
      </c>
      <c r="K32" s="8"/>
      <c r="L32" s="8">
        <v>71400000</v>
      </c>
      <c r="M32" s="8">
        <v>1.74E-4</v>
      </c>
      <c r="N32" s="9">
        <v>0.1</v>
      </c>
      <c r="O32" s="9">
        <v>1</v>
      </c>
      <c r="P32" s="10">
        <v>2.1</v>
      </c>
      <c r="Q32" s="8">
        <f t="shared" si="32"/>
        <v>2616946.6804402978</v>
      </c>
      <c r="R32" s="8">
        <f t="shared" si="33"/>
        <v>2.9866666666666668</v>
      </c>
      <c r="S32" s="8">
        <f t="shared" si="34"/>
        <v>2.9866666666666668</v>
      </c>
      <c r="T32" s="8">
        <v>100000</v>
      </c>
      <c r="U32" s="8">
        <v>50000</v>
      </c>
      <c r="V32" s="85" t="s">
        <v>19</v>
      </c>
      <c r="W32" s="8">
        <v>1000000</v>
      </c>
      <c r="X32" s="8">
        <v>60000</v>
      </c>
      <c r="Y32" s="36">
        <v>20</v>
      </c>
      <c r="Z32" s="8">
        <f t="shared" si="40"/>
        <v>21600000</v>
      </c>
      <c r="AA32" s="85">
        <v>5000</v>
      </c>
      <c r="AB32" s="85">
        <v>4</v>
      </c>
      <c r="AC32" s="35">
        <v>1.1E+33</v>
      </c>
      <c r="AD32" s="30">
        <v>50</v>
      </c>
      <c r="AE32" s="26" t="s">
        <v>38</v>
      </c>
      <c r="AF32" s="45">
        <f t="shared" si="10"/>
        <v>703876.3628687294</v>
      </c>
      <c r="AG32" s="45">
        <f t="shared" si="41"/>
        <v>9.7184351035573287E-5</v>
      </c>
      <c r="AL32" s="95"/>
      <c r="AM32" s="8">
        <f t="shared" si="42"/>
        <v>1051575.1986731528</v>
      </c>
      <c r="AN32" s="85" t="s">
        <v>178</v>
      </c>
    </row>
    <row r="33" spans="1:40" s="85" customFormat="1">
      <c r="A33" s="85" t="s">
        <v>197</v>
      </c>
      <c r="B33" s="5" t="s">
        <v>192</v>
      </c>
      <c r="C33" s="85">
        <v>170</v>
      </c>
      <c r="F33" s="85">
        <f t="shared" si="37"/>
        <v>512</v>
      </c>
      <c r="G33" s="85">
        <f t="shared" si="38"/>
        <v>256</v>
      </c>
      <c r="H33" s="8">
        <f>2*PI()*L19/F33</f>
        <v>876209.82604027819</v>
      </c>
      <c r="I33" s="8">
        <f>PI()*L19/G33</f>
        <v>876209.82604027819</v>
      </c>
      <c r="J33" s="8">
        <f t="shared" si="39"/>
        <v>76366.718191336782</v>
      </c>
      <c r="K33" s="8"/>
      <c r="L33" s="8">
        <v>71400000</v>
      </c>
      <c r="M33" s="8">
        <v>1.74E-4</v>
      </c>
      <c r="N33" s="9">
        <v>0.1</v>
      </c>
      <c r="O33" s="9">
        <v>1</v>
      </c>
      <c r="P33" s="10">
        <v>2.1</v>
      </c>
      <c r="Q33" s="8">
        <f t="shared" si="32"/>
        <v>2616946.6804402978</v>
      </c>
      <c r="R33" s="8">
        <f t="shared" si="33"/>
        <v>2.9866666666666668</v>
      </c>
      <c r="S33" s="8">
        <f t="shared" si="34"/>
        <v>2.9866666666666668</v>
      </c>
      <c r="T33" s="8">
        <v>100000</v>
      </c>
      <c r="U33" s="8">
        <v>50000</v>
      </c>
      <c r="V33" s="85" t="s">
        <v>19</v>
      </c>
      <c r="W33" s="8">
        <v>1000000</v>
      </c>
      <c r="X33" s="8">
        <v>60000</v>
      </c>
      <c r="Y33" s="36">
        <v>20</v>
      </c>
      <c r="Z33" s="8">
        <f t="shared" si="40"/>
        <v>21600000</v>
      </c>
      <c r="AA33" s="85">
        <v>5000</v>
      </c>
      <c r="AB33" s="85">
        <v>4</v>
      </c>
      <c r="AC33" s="35">
        <v>1.0999999999999999E+35</v>
      </c>
      <c r="AD33" s="30">
        <v>50</v>
      </c>
      <c r="AE33" s="26" t="s">
        <v>38</v>
      </c>
      <c r="AF33" s="45">
        <f t="shared" si="10"/>
        <v>703876.3628687294</v>
      </c>
      <c r="AG33" s="45">
        <f t="shared" si="41"/>
        <v>9.7184351035573287E-5</v>
      </c>
      <c r="AL33" s="95"/>
      <c r="AM33" s="8">
        <f t="shared" si="42"/>
        <v>10515.75198673153</v>
      </c>
      <c r="AN33" s="5" t="s">
        <v>192</v>
      </c>
    </row>
    <row r="34" spans="1:40" s="86" customFormat="1">
      <c r="A34" s="86" t="s">
        <v>198</v>
      </c>
      <c r="B34" s="5" t="s">
        <v>193</v>
      </c>
      <c r="C34" s="86">
        <v>170</v>
      </c>
      <c r="F34" s="86">
        <f t="shared" si="37"/>
        <v>512</v>
      </c>
      <c r="G34" s="86">
        <f t="shared" si="38"/>
        <v>256</v>
      </c>
      <c r="H34" s="8">
        <f>2*PI()*L19/F34</f>
        <v>876209.82604027819</v>
      </c>
      <c r="I34" s="8">
        <f>PI()*L19/G34</f>
        <v>876209.82604027819</v>
      </c>
      <c r="J34" s="8">
        <f t="shared" si="39"/>
        <v>76366.718191336782</v>
      </c>
      <c r="K34" s="8"/>
      <c r="L34" s="8">
        <v>71400000</v>
      </c>
      <c r="M34" s="8">
        <v>1.74E-4</v>
      </c>
      <c r="N34" s="9">
        <v>0.1</v>
      </c>
      <c r="O34" s="9">
        <v>1</v>
      </c>
      <c r="P34" s="10">
        <v>2.1</v>
      </c>
      <c r="Q34" s="8">
        <f t="shared" ref="Q34:Q36" si="43">2*PI()*L34*(P34/360)</f>
        <v>2616946.6804402978</v>
      </c>
      <c r="R34" s="8">
        <f t="shared" ref="R34:R36" si="44">Q34/H34</f>
        <v>2.9866666666666668</v>
      </c>
      <c r="S34" s="8">
        <f t="shared" ref="S34:S36" si="45">Q34/I34</f>
        <v>2.9866666666666668</v>
      </c>
      <c r="T34" s="8">
        <v>100000</v>
      </c>
      <c r="U34" s="8">
        <v>50000</v>
      </c>
      <c r="V34" s="86" t="s">
        <v>19</v>
      </c>
      <c r="W34" s="8">
        <v>1000000</v>
      </c>
      <c r="X34" s="8">
        <v>60000</v>
      </c>
      <c r="Y34" s="36">
        <v>20</v>
      </c>
      <c r="Z34" s="8">
        <f t="shared" si="40"/>
        <v>21600000</v>
      </c>
      <c r="AA34" s="86">
        <v>5000</v>
      </c>
      <c r="AB34" s="86">
        <v>4</v>
      </c>
      <c r="AC34" s="35">
        <v>1.1E+37</v>
      </c>
      <c r="AD34" s="30">
        <v>50</v>
      </c>
      <c r="AE34" s="26" t="s">
        <v>38</v>
      </c>
      <c r="AF34" s="45">
        <f t="shared" si="10"/>
        <v>703876.3628687294</v>
      </c>
      <c r="AG34" s="45">
        <f t="shared" si="41"/>
        <v>9.7184351035573287E-5</v>
      </c>
      <c r="AL34" s="95"/>
      <c r="AM34" s="8">
        <f t="shared" si="42"/>
        <v>105.15751986731529</v>
      </c>
      <c r="AN34" s="5" t="s">
        <v>193</v>
      </c>
    </row>
    <row r="35" spans="1:40" s="86" customFormat="1">
      <c r="A35" s="86" t="s">
        <v>213</v>
      </c>
      <c r="B35" s="5" t="s">
        <v>199</v>
      </c>
      <c r="C35" s="86">
        <v>170</v>
      </c>
      <c r="F35" s="86">
        <f t="shared" si="37"/>
        <v>512</v>
      </c>
      <c r="G35" s="86">
        <f t="shared" si="38"/>
        <v>256</v>
      </c>
      <c r="H35" s="8">
        <f>2*PI()*L19/F35</f>
        <v>876209.82604027819</v>
      </c>
      <c r="I35" s="8">
        <f>PI()*L19/G35</f>
        <v>876209.82604027819</v>
      </c>
      <c r="J35" s="8">
        <f t="shared" si="39"/>
        <v>76366.718191336782</v>
      </c>
      <c r="K35" s="8"/>
      <c r="L35" s="8">
        <v>71400000</v>
      </c>
      <c r="M35" s="8">
        <v>1.74E-4</v>
      </c>
      <c r="N35" s="9">
        <v>0.1</v>
      </c>
      <c r="O35" s="9">
        <v>1</v>
      </c>
      <c r="P35" s="10">
        <v>2.1</v>
      </c>
      <c r="Q35" s="8">
        <f t="shared" si="43"/>
        <v>2616946.6804402978</v>
      </c>
      <c r="R35" s="8">
        <f t="shared" si="44"/>
        <v>2.9866666666666668</v>
      </c>
      <c r="S35" s="8">
        <f t="shared" si="45"/>
        <v>2.9866666666666668</v>
      </c>
      <c r="T35" s="8">
        <v>100000</v>
      </c>
      <c r="U35" s="8">
        <v>50000</v>
      </c>
      <c r="V35" s="86" t="s">
        <v>19</v>
      </c>
      <c r="W35" s="8">
        <v>1000000</v>
      </c>
      <c r="X35" s="8">
        <v>60000</v>
      </c>
      <c r="Y35" s="36">
        <v>20</v>
      </c>
      <c r="Z35" s="8">
        <f t="shared" si="40"/>
        <v>21600000</v>
      </c>
      <c r="AA35" s="86">
        <v>5000</v>
      </c>
      <c r="AB35" s="86">
        <v>4</v>
      </c>
      <c r="AC35" s="35">
        <v>1.1000000000000001E+39</v>
      </c>
      <c r="AD35" s="30">
        <v>50</v>
      </c>
      <c r="AE35" s="26" t="s">
        <v>38</v>
      </c>
      <c r="AF35" s="45">
        <f t="shared" si="10"/>
        <v>703876.3628687294</v>
      </c>
      <c r="AG35" s="45">
        <f t="shared" si="41"/>
        <v>9.7184351035573287E-5</v>
      </c>
      <c r="AL35" s="95"/>
      <c r="AM35" s="8">
        <f t="shared" si="42"/>
        <v>1.0515751986731527</v>
      </c>
      <c r="AN35" s="5" t="s">
        <v>199</v>
      </c>
    </row>
    <row r="36" spans="1:40" s="96" customFormat="1">
      <c r="A36" s="96" t="s">
        <v>221</v>
      </c>
      <c r="B36" s="97" t="s">
        <v>200</v>
      </c>
      <c r="C36" s="96">
        <v>170</v>
      </c>
      <c r="F36" s="96">
        <f t="shared" si="37"/>
        <v>512</v>
      </c>
      <c r="G36" s="96">
        <f t="shared" si="38"/>
        <v>256</v>
      </c>
      <c r="H36" s="98">
        <f>2*PI()*L19/F36</f>
        <v>876209.82604027819</v>
      </c>
      <c r="I36" s="98">
        <f>PI()*L19/G36</f>
        <v>876209.82604027819</v>
      </c>
      <c r="J36" s="98">
        <f t="shared" si="39"/>
        <v>76366.718191336782</v>
      </c>
      <c r="K36" s="98"/>
      <c r="L36" s="98">
        <v>71400000</v>
      </c>
      <c r="M36" s="98">
        <v>1.74E-4</v>
      </c>
      <c r="N36" s="99">
        <v>0.1</v>
      </c>
      <c r="O36" s="99">
        <v>1</v>
      </c>
      <c r="P36" s="100">
        <v>2.1</v>
      </c>
      <c r="Q36" s="98">
        <f t="shared" si="43"/>
        <v>2616946.6804402978</v>
      </c>
      <c r="R36" s="98">
        <f t="shared" si="44"/>
        <v>2.9866666666666668</v>
      </c>
      <c r="S36" s="98">
        <f t="shared" si="45"/>
        <v>2.9866666666666668</v>
      </c>
      <c r="T36" s="98">
        <v>100000</v>
      </c>
      <c r="U36" s="98">
        <v>50000</v>
      </c>
      <c r="V36" s="96" t="s">
        <v>19</v>
      </c>
      <c r="W36" s="98">
        <v>1000000</v>
      </c>
      <c r="X36" s="98">
        <v>60000</v>
      </c>
      <c r="Y36" s="96">
        <v>20</v>
      </c>
      <c r="Z36" s="98">
        <f t="shared" si="40"/>
        <v>21600000</v>
      </c>
      <c r="AA36" s="96">
        <v>5000</v>
      </c>
      <c r="AB36" s="96">
        <v>4</v>
      </c>
      <c r="AC36" s="98">
        <v>1.0999999999999999E+41</v>
      </c>
      <c r="AD36" s="102">
        <v>50</v>
      </c>
      <c r="AE36" s="103" t="s">
        <v>38</v>
      </c>
      <c r="AF36" s="45">
        <f t="shared" si="10"/>
        <v>703876.3628687294</v>
      </c>
      <c r="AG36" s="104">
        <f t="shared" si="41"/>
        <v>9.7184351035573287E-5</v>
      </c>
      <c r="AM36" s="98">
        <f t="shared" si="42"/>
        <v>1.0515751986731528E-2</v>
      </c>
      <c r="AN36" s="97" t="s">
        <v>200</v>
      </c>
    </row>
    <row r="37" spans="1:40" s="46" customFormat="1">
      <c r="A37" s="46" t="s">
        <v>212</v>
      </c>
      <c r="B37" s="47" t="s">
        <v>208</v>
      </c>
      <c r="C37" s="46">
        <v>170</v>
      </c>
      <c r="F37" s="46">
        <f t="shared" si="19"/>
        <v>512</v>
      </c>
      <c r="G37" s="46">
        <f t="shared" si="20"/>
        <v>256</v>
      </c>
      <c r="H37" s="48">
        <f>2*PI()*L20/F37</f>
        <v>876209.82604027819</v>
      </c>
      <c r="I37" s="48">
        <f>PI()*L20/G37</f>
        <v>876209.82604027819</v>
      </c>
      <c r="J37" s="48">
        <f t="shared" si="8"/>
        <v>76366.718191336782</v>
      </c>
      <c r="K37" s="48"/>
      <c r="L37" s="48">
        <v>71400000</v>
      </c>
      <c r="M37" s="48">
        <v>1.74E-4</v>
      </c>
      <c r="N37" s="49">
        <v>0.1</v>
      </c>
      <c r="O37" s="49">
        <v>1</v>
      </c>
      <c r="P37" s="50">
        <v>2.1</v>
      </c>
      <c r="Q37" s="48">
        <f t="shared" si="32"/>
        <v>2616946.6804402978</v>
      </c>
      <c r="R37" s="48">
        <f t="shared" si="33"/>
        <v>2.9866666666666668</v>
      </c>
      <c r="S37" s="48">
        <f t="shared" si="34"/>
        <v>2.9866666666666668</v>
      </c>
      <c r="T37" s="48">
        <v>100000</v>
      </c>
      <c r="U37" s="48">
        <v>50000</v>
      </c>
      <c r="V37" s="46" t="s">
        <v>19</v>
      </c>
      <c r="W37" s="48">
        <v>1000000</v>
      </c>
      <c r="X37" s="48">
        <v>60000</v>
      </c>
      <c r="Y37" s="46">
        <v>10</v>
      </c>
      <c r="Z37" s="48">
        <f t="shared" si="24"/>
        <v>43200000</v>
      </c>
      <c r="AA37" s="46">
        <v>5000</v>
      </c>
      <c r="AB37" s="46">
        <v>4</v>
      </c>
      <c r="AC37" s="48">
        <v>1.0999999999999999E+41</v>
      </c>
      <c r="AD37" s="51">
        <v>50</v>
      </c>
      <c r="AE37" s="52" t="s">
        <v>38</v>
      </c>
      <c r="AF37" s="45">
        <f t="shared" si="10"/>
        <v>703876.3628687294</v>
      </c>
      <c r="AG37" s="53">
        <f t="shared" si="18"/>
        <v>9.7184351035573287E-5</v>
      </c>
      <c r="AM37" s="48">
        <f t="shared" si="12"/>
        <v>1.0515751986731528E-2</v>
      </c>
      <c r="AN37" s="47" t="s">
        <v>208</v>
      </c>
    </row>
    <row r="38" spans="1:40" s="15" customFormat="1">
      <c r="B38" s="14" t="s">
        <v>32</v>
      </c>
      <c r="D38" s="15">
        <v>256</v>
      </c>
      <c r="E38" s="15">
        <v>149</v>
      </c>
      <c r="F38" s="15">
        <f>D38*3</f>
        <v>768</v>
      </c>
      <c r="G38" s="15">
        <f>E38*(18/7)</f>
        <v>383.14285714285717</v>
      </c>
      <c r="H38" s="16">
        <f>2*PI()*L38/D38/3</f>
        <v>584139.88402685209</v>
      </c>
      <c r="I38" s="16">
        <f>PI()*L38*(7/18)/E38</f>
        <v>585446.68466225895</v>
      </c>
      <c r="J38" s="8">
        <f t="shared" si="8"/>
        <v>50911.145460891188</v>
      </c>
      <c r="K38" s="16"/>
      <c r="L38" s="16">
        <v>71400000</v>
      </c>
      <c r="M38" s="16">
        <v>1.74E-4</v>
      </c>
      <c r="N38" s="17">
        <v>0.33300000000000002</v>
      </c>
      <c r="O38" s="17">
        <v>1</v>
      </c>
      <c r="P38" s="18">
        <v>2.1</v>
      </c>
      <c r="Q38" s="16">
        <f t="shared" si="0"/>
        <v>2616946.6804402978</v>
      </c>
      <c r="R38" s="16">
        <f t="shared" si="1"/>
        <v>4.4800000000000004</v>
      </c>
      <c r="S38" s="16">
        <f t="shared" si="2"/>
        <v>4.4700000000000006</v>
      </c>
      <c r="T38" s="16">
        <v>100000</v>
      </c>
      <c r="U38" s="16">
        <v>100000</v>
      </c>
      <c r="V38" s="15" t="s">
        <v>19</v>
      </c>
      <c r="W38" s="16">
        <v>1000000</v>
      </c>
      <c r="X38" s="16">
        <v>60000</v>
      </c>
      <c r="AB38" s="15">
        <v>4</v>
      </c>
      <c r="AD38" s="25"/>
      <c r="AE38" s="29"/>
      <c r="AF38" s="45">
        <f t="shared" si="10"/>
        <v>703876.3628687294</v>
      </c>
      <c r="AG38" s="45">
        <f t="shared" si="18"/>
        <v>9.7184351035573287E-5</v>
      </c>
      <c r="AL38" s="95"/>
      <c r="AM38" s="8" t="e">
        <f t="shared" si="12"/>
        <v>#DIV/0!</v>
      </c>
      <c r="AN38" s="14" t="s">
        <v>32</v>
      </c>
    </row>
    <row r="39" spans="1:40" s="2" customFormat="1">
      <c r="A39" s="2" t="s">
        <v>46</v>
      </c>
      <c r="B39" s="5" t="s">
        <v>40</v>
      </c>
      <c r="C39" s="2">
        <v>170</v>
      </c>
      <c r="F39" s="2">
        <f t="shared" ref="F39:F45" si="46">C39*3+2</f>
        <v>512</v>
      </c>
      <c r="G39" s="2">
        <f t="shared" ref="G39:G45" si="47">F39/2</f>
        <v>256</v>
      </c>
      <c r="H39" s="8">
        <f t="shared" ref="H39:H43" si="48">2*PI()*L38/F39</f>
        <v>876209.82604027819</v>
      </c>
      <c r="I39" s="8">
        <f t="shared" ref="I39:I43" si="49">PI()*L38/G39</f>
        <v>876209.82604027819</v>
      </c>
      <c r="J39" s="8">
        <f t="shared" si="8"/>
        <v>76366.718191336782</v>
      </c>
      <c r="K39" s="8"/>
      <c r="L39" s="8">
        <v>71400000</v>
      </c>
      <c r="M39" s="8">
        <v>1.74E-4</v>
      </c>
      <c r="N39" s="9">
        <v>0.33300000000000002</v>
      </c>
      <c r="O39" s="9">
        <v>1</v>
      </c>
      <c r="P39" s="10">
        <v>2.1</v>
      </c>
      <c r="Q39" s="8">
        <f t="shared" si="0"/>
        <v>2616946.6804402978</v>
      </c>
      <c r="R39" s="8">
        <f t="shared" si="1"/>
        <v>2.9866666666666668</v>
      </c>
      <c r="S39" s="8">
        <f t="shared" si="2"/>
        <v>2.9866666666666668</v>
      </c>
      <c r="T39" s="8">
        <v>100000</v>
      </c>
      <c r="U39" s="8">
        <v>100000</v>
      </c>
      <c r="V39" s="2" t="s">
        <v>19</v>
      </c>
      <c r="W39" s="8">
        <v>1000000</v>
      </c>
      <c r="X39" s="8">
        <v>60000</v>
      </c>
      <c r="Y39" s="2">
        <v>20</v>
      </c>
      <c r="Z39" s="8">
        <f t="shared" ref="Z39:Z45" si="50">AA39*60*60*24/Y39</f>
        <v>21600000</v>
      </c>
      <c r="AA39" s="2">
        <v>5000</v>
      </c>
      <c r="AB39" s="2">
        <v>4</v>
      </c>
      <c r="AC39" s="8">
        <v>5.78E+40</v>
      </c>
      <c r="AD39" s="24">
        <v>600</v>
      </c>
      <c r="AE39" s="26" t="s">
        <v>38</v>
      </c>
      <c r="AF39" s="45">
        <f t="shared" si="10"/>
        <v>703876.3628687294</v>
      </c>
      <c r="AG39" s="45">
        <f t="shared" si="18"/>
        <v>9.7184351035573287E-5</v>
      </c>
      <c r="AH39" s="2" t="s">
        <v>35</v>
      </c>
      <c r="AI39" s="38" t="s">
        <v>107</v>
      </c>
      <c r="AJ39" s="73"/>
      <c r="AK39" s="63"/>
      <c r="AL39" s="95"/>
      <c r="AM39" s="8">
        <f t="shared" si="12"/>
        <v>2.001267679135758E-2</v>
      </c>
      <c r="AN39" s="5" t="s">
        <v>40</v>
      </c>
    </row>
    <row r="40" spans="1:40" s="2" customFormat="1">
      <c r="A40" s="2" t="s">
        <v>46</v>
      </c>
      <c r="B40" s="5" t="s">
        <v>41</v>
      </c>
      <c r="C40" s="2">
        <v>170</v>
      </c>
      <c r="F40" s="2">
        <f t="shared" si="46"/>
        <v>512</v>
      </c>
      <c r="G40" s="2">
        <f t="shared" si="47"/>
        <v>256</v>
      </c>
      <c r="H40" s="8">
        <f t="shared" si="48"/>
        <v>876209.82604027819</v>
      </c>
      <c r="I40" s="8">
        <f t="shared" si="49"/>
        <v>876209.82604027819</v>
      </c>
      <c r="J40" s="8">
        <f t="shared" si="8"/>
        <v>76366.718191336782</v>
      </c>
      <c r="K40" s="8"/>
      <c r="L40" s="8">
        <v>71400000</v>
      </c>
      <c r="M40" s="8">
        <v>1.74E-4</v>
      </c>
      <c r="N40" s="9">
        <v>0.33300000000000002</v>
      </c>
      <c r="O40" s="9">
        <v>1</v>
      </c>
      <c r="P40" s="10">
        <v>2.1</v>
      </c>
      <c r="Q40" s="8">
        <f t="shared" si="0"/>
        <v>2616946.6804402978</v>
      </c>
      <c r="R40" s="8">
        <f t="shared" si="1"/>
        <v>2.9866666666666668</v>
      </c>
      <c r="S40" s="8">
        <f t="shared" si="2"/>
        <v>2.9866666666666668</v>
      </c>
      <c r="T40" s="8">
        <v>100000</v>
      </c>
      <c r="U40" s="8">
        <v>100000</v>
      </c>
      <c r="V40" s="2" t="s">
        <v>19</v>
      </c>
      <c r="W40" s="8">
        <v>1000000</v>
      </c>
      <c r="X40" s="8">
        <v>60000</v>
      </c>
      <c r="Y40" s="19">
        <v>10</v>
      </c>
      <c r="Z40" s="8">
        <f t="shared" si="50"/>
        <v>43200000</v>
      </c>
      <c r="AA40" s="2">
        <v>5000</v>
      </c>
      <c r="AB40" s="2">
        <v>4</v>
      </c>
      <c r="AC40" s="8">
        <v>5.78E+40</v>
      </c>
      <c r="AD40" s="24">
        <v>600</v>
      </c>
      <c r="AE40" s="26" t="s">
        <v>38</v>
      </c>
      <c r="AF40" s="45">
        <f t="shared" si="10"/>
        <v>703876.3628687294</v>
      </c>
      <c r="AG40" s="45">
        <f t="shared" si="18"/>
        <v>9.7184351035573287E-5</v>
      </c>
      <c r="AH40" s="2" t="s">
        <v>35</v>
      </c>
      <c r="AI40" s="38" t="s">
        <v>107</v>
      </c>
      <c r="AJ40" s="73"/>
      <c r="AK40" s="63"/>
      <c r="AL40" s="95"/>
      <c r="AM40" s="8">
        <f t="shared" si="12"/>
        <v>2.001267679135758E-2</v>
      </c>
      <c r="AN40" s="5" t="s">
        <v>41</v>
      </c>
    </row>
    <row r="41" spans="1:40" s="3" customFormat="1">
      <c r="A41" s="3" t="s">
        <v>46</v>
      </c>
      <c r="B41" s="5" t="s">
        <v>41</v>
      </c>
      <c r="C41" s="3">
        <v>170</v>
      </c>
      <c r="F41" s="3">
        <f t="shared" si="46"/>
        <v>512</v>
      </c>
      <c r="G41" s="3">
        <f t="shared" si="47"/>
        <v>256</v>
      </c>
      <c r="H41" s="8">
        <f t="shared" si="48"/>
        <v>876209.82604027819</v>
      </c>
      <c r="I41" s="8">
        <f t="shared" si="49"/>
        <v>876209.82604027819</v>
      </c>
      <c r="J41" s="8">
        <f t="shared" si="8"/>
        <v>76366.718191336782</v>
      </c>
      <c r="K41" s="8"/>
      <c r="L41" s="8">
        <v>71400000</v>
      </c>
      <c r="M41" s="8">
        <v>1.74E-4</v>
      </c>
      <c r="N41" s="9">
        <v>0.33300000000000002</v>
      </c>
      <c r="O41" s="9">
        <v>1</v>
      </c>
      <c r="P41" s="10">
        <v>2.1</v>
      </c>
      <c r="Q41" s="8">
        <f t="shared" ref="Q41" si="51">2*PI()*L41*(P41/360)</f>
        <v>2616946.6804402978</v>
      </c>
      <c r="R41" s="8">
        <f t="shared" ref="R41" si="52">Q41/H41</f>
        <v>2.9866666666666668</v>
      </c>
      <c r="S41" s="8">
        <f t="shared" ref="S41" si="53">Q41/I41</f>
        <v>2.9866666666666668</v>
      </c>
      <c r="T41" s="8">
        <v>100000</v>
      </c>
      <c r="U41" s="8">
        <v>100000</v>
      </c>
      <c r="V41" s="3" t="s">
        <v>19</v>
      </c>
      <c r="W41" s="8">
        <v>1000000</v>
      </c>
      <c r="X41" s="8">
        <v>60000</v>
      </c>
      <c r="Y41" s="19">
        <v>10</v>
      </c>
      <c r="Z41" s="8">
        <f t="shared" si="50"/>
        <v>43200000</v>
      </c>
      <c r="AA41" s="3">
        <v>5000</v>
      </c>
      <c r="AB41" s="3">
        <v>4</v>
      </c>
      <c r="AC41" s="8">
        <v>5.78E+40</v>
      </c>
      <c r="AD41" s="30">
        <v>50</v>
      </c>
      <c r="AE41" s="26" t="s">
        <v>38</v>
      </c>
      <c r="AF41" s="45">
        <f t="shared" si="10"/>
        <v>703876.3628687294</v>
      </c>
      <c r="AG41" s="45">
        <f t="shared" si="18"/>
        <v>9.7184351035573287E-5</v>
      </c>
      <c r="AH41" s="3" t="s">
        <v>43</v>
      </c>
      <c r="AI41" s="38" t="s">
        <v>107</v>
      </c>
      <c r="AJ41" s="73"/>
      <c r="AK41" s="63"/>
      <c r="AL41" s="95"/>
      <c r="AM41" s="8">
        <f t="shared" si="12"/>
        <v>2.001267679135758E-2</v>
      </c>
      <c r="AN41" s="5" t="s">
        <v>41</v>
      </c>
    </row>
    <row r="42" spans="1:40" s="3" customFormat="1">
      <c r="A42" s="3" t="s">
        <v>46</v>
      </c>
      <c r="B42" s="5" t="s">
        <v>44</v>
      </c>
      <c r="C42" s="3">
        <v>170</v>
      </c>
      <c r="F42" s="3">
        <f t="shared" si="46"/>
        <v>512</v>
      </c>
      <c r="G42" s="3">
        <f t="shared" si="47"/>
        <v>256</v>
      </c>
      <c r="H42" s="8">
        <f t="shared" si="48"/>
        <v>876209.82604027819</v>
      </c>
      <c r="I42" s="8">
        <f t="shared" si="49"/>
        <v>876209.82604027819</v>
      </c>
      <c r="J42" s="8">
        <f t="shared" si="8"/>
        <v>76366.718191336782</v>
      </c>
      <c r="K42" s="8"/>
      <c r="L42" s="8">
        <v>71400000</v>
      </c>
      <c r="M42" s="8">
        <v>1.74E-4</v>
      </c>
      <c r="N42" s="9">
        <v>0.33300000000000002</v>
      </c>
      <c r="O42" s="9">
        <v>1</v>
      </c>
      <c r="P42" s="10">
        <v>2.1</v>
      </c>
      <c r="Q42" s="8">
        <f t="shared" ref="Q42" si="54">2*PI()*L42*(P42/360)</f>
        <v>2616946.6804402978</v>
      </c>
      <c r="R42" s="8">
        <f t="shared" ref="R42" si="55">Q42/H42</f>
        <v>2.9866666666666668</v>
      </c>
      <c r="S42" s="8">
        <f t="shared" ref="S42" si="56">Q42/I42</f>
        <v>2.9866666666666668</v>
      </c>
      <c r="T42" s="8">
        <v>100000</v>
      </c>
      <c r="U42" s="8">
        <v>100000</v>
      </c>
      <c r="V42" s="3" t="s">
        <v>19</v>
      </c>
      <c r="W42" s="8">
        <v>1000000</v>
      </c>
      <c r="X42" s="8">
        <v>60000</v>
      </c>
      <c r="Y42" s="19">
        <v>10</v>
      </c>
      <c r="Z42" s="8">
        <f t="shared" si="50"/>
        <v>43200000</v>
      </c>
      <c r="AA42" s="3">
        <v>5000</v>
      </c>
      <c r="AB42" s="3">
        <v>4</v>
      </c>
      <c r="AC42" s="8">
        <v>5.78E+40</v>
      </c>
      <c r="AD42" s="30">
        <v>50</v>
      </c>
      <c r="AE42" s="31" t="s">
        <v>45</v>
      </c>
      <c r="AF42" s="45">
        <f t="shared" si="10"/>
        <v>703876.3628687294</v>
      </c>
      <c r="AG42" s="45">
        <f t="shared" si="18"/>
        <v>9.7184351035573287E-5</v>
      </c>
      <c r="AH42" s="3" t="s">
        <v>50</v>
      </c>
      <c r="AI42" s="38" t="s">
        <v>107</v>
      </c>
      <c r="AJ42" s="73"/>
      <c r="AK42" s="63"/>
      <c r="AL42" s="95"/>
      <c r="AM42" s="8">
        <f t="shared" si="12"/>
        <v>2.001267679135758E-2</v>
      </c>
      <c r="AN42" s="5" t="s">
        <v>44</v>
      </c>
    </row>
    <row r="43" spans="1:40" s="21" customFormat="1">
      <c r="A43" s="21" t="s">
        <v>46</v>
      </c>
      <c r="B43" s="5" t="s">
        <v>51</v>
      </c>
      <c r="C43" s="21">
        <v>170</v>
      </c>
      <c r="F43" s="21">
        <f t="shared" si="46"/>
        <v>512</v>
      </c>
      <c r="G43" s="21">
        <f t="shared" si="47"/>
        <v>256</v>
      </c>
      <c r="H43" s="8">
        <f t="shared" si="48"/>
        <v>876209.82604027819</v>
      </c>
      <c r="I43" s="8">
        <f t="shared" si="49"/>
        <v>876209.82604027819</v>
      </c>
      <c r="J43" s="8">
        <f t="shared" si="8"/>
        <v>76366.718191336782</v>
      </c>
      <c r="K43" s="8"/>
      <c r="L43" s="8">
        <v>71400000</v>
      </c>
      <c r="M43" s="8">
        <v>1.74E-4</v>
      </c>
      <c r="N43" s="9">
        <v>0.33300000000000002</v>
      </c>
      <c r="O43" s="9">
        <v>1</v>
      </c>
      <c r="P43" s="10">
        <v>2.1</v>
      </c>
      <c r="Q43" s="8">
        <f t="shared" ref="Q43:Q44" si="57">2*PI()*L43*(P43/360)</f>
        <v>2616946.6804402978</v>
      </c>
      <c r="R43" s="8">
        <f t="shared" ref="R43:R44" si="58">Q43/H43</f>
        <v>2.9866666666666668</v>
      </c>
      <c r="S43" s="8">
        <f t="shared" ref="S43:S44" si="59">Q43/I43</f>
        <v>2.9866666666666668</v>
      </c>
      <c r="T43" s="8">
        <v>100000</v>
      </c>
      <c r="U43" s="8">
        <v>100000</v>
      </c>
      <c r="V43" s="21" t="s">
        <v>19</v>
      </c>
      <c r="W43" s="8">
        <v>1000000</v>
      </c>
      <c r="X43" s="8">
        <v>60000</v>
      </c>
      <c r="Y43" s="19">
        <v>10</v>
      </c>
      <c r="Z43" s="8">
        <f t="shared" si="50"/>
        <v>43200000</v>
      </c>
      <c r="AA43" s="21">
        <v>5000</v>
      </c>
      <c r="AB43" s="21">
        <v>4</v>
      </c>
      <c r="AC43" s="8">
        <v>5.7799999999999999E+44</v>
      </c>
      <c r="AD43" s="30">
        <v>50</v>
      </c>
      <c r="AE43" s="31" t="s">
        <v>52</v>
      </c>
      <c r="AF43" s="45">
        <f t="shared" si="10"/>
        <v>703876.3628687294</v>
      </c>
      <c r="AG43" s="45">
        <f t="shared" si="18"/>
        <v>9.7184351035573287E-5</v>
      </c>
      <c r="AH43" s="21" t="s">
        <v>90</v>
      </c>
      <c r="AI43" s="38" t="s">
        <v>107</v>
      </c>
      <c r="AJ43" s="73"/>
      <c r="AK43" s="63"/>
      <c r="AL43" s="95"/>
      <c r="AM43" s="8">
        <f t="shared" si="12"/>
        <v>2.0012676791357582E-6</v>
      </c>
      <c r="AN43" s="5" t="s">
        <v>51</v>
      </c>
    </row>
    <row r="44" spans="1:40" s="46" customFormat="1">
      <c r="A44" s="46" t="s">
        <v>109</v>
      </c>
      <c r="B44" s="47" t="s">
        <v>93</v>
      </c>
      <c r="C44" s="46">
        <v>170</v>
      </c>
      <c r="F44" s="46">
        <f t="shared" ref="F44" si="60">C44*3+2</f>
        <v>512</v>
      </c>
      <c r="G44" s="46">
        <f t="shared" ref="G44" si="61">F44/2</f>
        <v>256</v>
      </c>
      <c r="H44" s="48">
        <f>2*PI()*L42/F44</f>
        <v>876209.82604027819</v>
      </c>
      <c r="I44" s="48">
        <f>PI()*L42/G44</f>
        <v>876209.82604027819</v>
      </c>
      <c r="J44" s="48">
        <f t="shared" si="8"/>
        <v>76366.718191336782</v>
      </c>
      <c r="K44" s="48"/>
      <c r="L44" s="48">
        <v>71400000</v>
      </c>
      <c r="M44" s="48">
        <v>1.74E-4</v>
      </c>
      <c r="N44" s="49">
        <v>0.33300000000000002</v>
      </c>
      <c r="O44" s="49">
        <v>1</v>
      </c>
      <c r="P44" s="50">
        <v>2.1</v>
      </c>
      <c r="Q44" s="48">
        <f t="shared" si="57"/>
        <v>2616946.6804402978</v>
      </c>
      <c r="R44" s="48">
        <f t="shared" si="58"/>
        <v>2.9866666666666668</v>
      </c>
      <c r="S44" s="48">
        <f t="shared" si="59"/>
        <v>2.9866666666666668</v>
      </c>
      <c r="T44" s="48">
        <v>100000</v>
      </c>
      <c r="U44" s="48">
        <v>100000</v>
      </c>
      <c r="V44" s="46" t="s">
        <v>19</v>
      </c>
      <c r="W44" s="48">
        <v>1000000</v>
      </c>
      <c r="X44" s="48">
        <v>60000</v>
      </c>
      <c r="Y44" s="75">
        <v>10</v>
      </c>
      <c r="Z44" s="48">
        <f t="shared" ref="Z44" si="62">AA44*60*60*24/Y44</f>
        <v>43200000</v>
      </c>
      <c r="AA44" s="46">
        <v>5000</v>
      </c>
      <c r="AB44" s="46">
        <v>4</v>
      </c>
      <c r="AC44" s="48">
        <v>5.7799999999999997E+45</v>
      </c>
      <c r="AD44" s="51">
        <v>50</v>
      </c>
      <c r="AE44" s="52" t="s">
        <v>38</v>
      </c>
      <c r="AF44" s="45">
        <f t="shared" si="10"/>
        <v>703876.3628687294</v>
      </c>
      <c r="AG44" s="53">
        <f t="shared" ref="AG44" si="63">(AF44/L44)^2</f>
        <v>9.7184351035573287E-5</v>
      </c>
      <c r="AH44" s="46" t="s">
        <v>108</v>
      </c>
      <c r="AI44" s="46" t="s">
        <v>107</v>
      </c>
      <c r="AM44" s="48">
        <f t="shared" si="12"/>
        <v>2.0012676791357581E-7</v>
      </c>
      <c r="AN44" s="47" t="s">
        <v>93</v>
      </c>
    </row>
    <row r="45" spans="1:40" s="46" customFormat="1">
      <c r="A45" s="46" t="s">
        <v>156</v>
      </c>
      <c r="B45" s="47" t="s">
        <v>142</v>
      </c>
      <c r="C45" s="46">
        <v>170</v>
      </c>
      <c r="F45" s="46">
        <f t="shared" si="46"/>
        <v>512</v>
      </c>
      <c r="G45" s="46">
        <f t="shared" si="47"/>
        <v>256</v>
      </c>
      <c r="H45" s="48">
        <f>2*PI()*L43/F45</f>
        <v>876209.82604027819</v>
      </c>
      <c r="I45" s="48">
        <f>PI()*L43/G45</f>
        <v>876209.82604027819</v>
      </c>
      <c r="J45" s="8">
        <f t="shared" si="8"/>
        <v>76366.718191336782</v>
      </c>
      <c r="K45" s="48"/>
      <c r="L45" s="48">
        <v>71400000</v>
      </c>
      <c r="M45" s="48">
        <v>1.74E-4</v>
      </c>
      <c r="N45" s="49">
        <v>0.33300000000000002</v>
      </c>
      <c r="O45" s="49">
        <v>1</v>
      </c>
      <c r="P45" s="50">
        <v>2.1</v>
      </c>
      <c r="Q45" s="48">
        <f t="shared" ref="Q45:Q55" si="64">2*PI()*L45*(P45/360)</f>
        <v>2616946.6804402978</v>
      </c>
      <c r="R45" s="48">
        <f t="shared" ref="R45:R55" si="65">Q45/H45</f>
        <v>2.9866666666666668</v>
      </c>
      <c r="S45" s="48">
        <f t="shared" ref="S45:S55" si="66">Q45/I45</f>
        <v>2.9866666666666668</v>
      </c>
      <c r="T45" s="48">
        <v>100000</v>
      </c>
      <c r="U45" s="48">
        <v>100000</v>
      </c>
      <c r="V45" s="46" t="s">
        <v>19</v>
      </c>
      <c r="W45" s="48">
        <v>1000000</v>
      </c>
      <c r="X45" s="48">
        <v>60000</v>
      </c>
      <c r="Y45" s="75">
        <v>10</v>
      </c>
      <c r="Z45" s="48">
        <f t="shared" si="50"/>
        <v>43200000</v>
      </c>
      <c r="AA45" s="46">
        <v>5000</v>
      </c>
      <c r="AB45" s="46">
        <v>4</v>
      </c>
      <c r="AC45" s="48">
        <v>5.7799999999999997E+46</v>
      </c>
      <c r="AD45" s="51">
        <v>50</v>
      </c>
      <c r="AE45" s="52" t="s">
        <v>38</v>
      </c>
      <c r="AF45" s="45">
        <f t="shared" si="10"/>
        <v>703876.3628687294</v>
      </c>
      <c r="AG45" s="53">
        <f t="shared" si="18"/>
        <v>9.7184351035573287E-5</v>
      </c>
      <c r="AM45" s="8">
        <f t="shared" si="12"/>
        <v>2.0012676791357582E-8</v>
      </c>
      <c r="AN45" s="47" t="s">
        <v>142</v>
      </c>
    </row>
    <row r="46" spans="1:40" s="46" customFormat="1">
      <c r="A46" s="46" t="s">
        <v>170</v>
      </c>
      <c r="B46" s="47" t="s">
        <v>164</v>
      </c>
      <c r="C46" s="46">
        <v>170</v>
      </c>
      <c r="F46" s="46">
        <f t="shared" ref="F46:F52" si="67">C46*3+2</f>
        <v>512</v>
      </c>
      <c r="G46" s="46">
        <f t="shared" ref="G46:G52" si="68">F46/2</f>
        <v>256</v>
      </c>
      <c r="H46" s="48">
        <f>2*PI()*L44/F46</f>
        <v>876209.82604027819</v>
      </c>
      <c r="I46" s="48">
        <f>PI()*L44/G46</f>
        <v>876209.82604027819</v>
      </c>
      <c r="J46" s="8">
        <f t="shared" ref="J46:J52" si="69">COS(85*PI()/180)*L46*2*PI()/F46</f>
        <v>76366.718191336782</v>
      </c>
      <c r="K46" s="48"/>
      <c r="L46" s="48">
        <v>71400000</v>
      </c>
      <c r="M46" s="48">
        <v>1.74E-4</v>
      </c>
      <c r="N46" s="49">
        <v>0.33300000000000002</v>
      </c>
      <c r="O46" s="49">
        <v>1</v>
      </c>
      <c r="P46" s="50">
        <v>2.1</v>
      </c>
      <c r="Q46" s="48">
        <f t="shared" ref="Q46:Q52" si="70">2*PI()*L46*(P46/360)</f>
        <v>2616946.6804402978</v>
      </c>
      <c r="R46" s="48">
        <f t="shared" ref="R46:R52" si="71">Q46/H46</f>
        <v>2.9866666666666668</v>
      </c>
      <c r="S46" s="48">
        <f t="shared" ref="S46:S52" si="72">Q46/I46</f>
        <v>2.9866666666666668</v>
      </c>
      <c r="T46" s="48">
        <v>100000</v>
      </c>
      <c r="U46" s="48">
        <v>100000</v>
      </c>
      <c r="V46" s="46" t="s">
        <v>19</v>
      </c>
      <c r="W46" s="48">
        <v>1000000</v>
      </c>
      <c r="X46" s="48">
        <v>60000</v>
      </c>
      <c r="Y46" s="75">
        <v>20</v>
      </c>
      <c r="Z46" s="48">
        <f t="shared" ref="Z46:Z52" si="73">AA46*60*60*24/Y46</f>
        <v>21600000</v>
      </c>
      <c r="AA46" s="46">
        <v>5000</v>
      </c>
      <c r="AB46" s="46">
        <v>4</v>
      </c>
      <c r="AC46" s="48">
        <v>1.2E+32</v>
      </c>
      <c r="AD46" s="51">
        <v>50</v>
      </c>
      <c r="AE46" s="52" t="s">
        <v>38</v>
      </c>
      <c r="AF46" s="45">
        <f t="shared" si="10"/>
        <v>703876.3628687294</v>
      </c>
      <c r="AG46" s="53">
        <f t="shared" ref="AG46:AG52" si="74">(AF46/L46)^2</f>
        <v>9.7184351035573287E-5</v>
      </c>
      <c r="AH46" s="85" t="s">
        <v>171</v>
      </c>
      <c r="AM46" s="8">
        <f t="shared" ref="AM46:AM52" si="75">(1/AC46)*(J46)^8</f>
        <v>9639439.3211705685</v>
      </c>
      <c r="AN46" s="47" t="s">
        <v>164</v>
      </c>
    </row>
    <row r="47" spans="1:40" s="46" customFormat="1">
      <c r="A47" s="46" t="s">
        <v>185</v>
      </c>
      <c r="B47" s="47" t="s">
        <v>181</v>
      </c>
      <c r="C47" s="46">
        <v>170</v>
      </c>
      <c r="F47" s="46">
        <f t="shared" si="67"/>
        <v>512</v>
      </c>
      <c r="G47" s="46">
        <f t="shared" si="68"/>
        <v>256</v>
      </c>
      <c r="H47" s="48">
        <f>2*PI()*L44/F47</f>
        <v>876209.82604027819</v>
      </c>
      <c r="I47" s="48">
        <f>PI()*L44/G47</f>
        <v>876209.82604027819</v>
      </c>
      <c r="J47" s="8">
        <f t="shared" si="69"/>
        <v>76366.718191336782</v>
      </c>
      <c r="K47" s="48"/>
      <c r="L47" s="48">
        <v>71400000</v>
      </c>
      <c r="M47" s="48">
        <v>1.74E-4</v>
      </c>
      <c r="N47" s="49">
        <v>0.33300000000000002</v>
      </c>
      <c r="O47" s="49">
        <v>1</v>
      </c>
      <c r="P47" s="50">
        <v>2.1</v>
      </c>
      <c r="Q47" s="48">
        <f t="shared" si="70"/>
        <v>2616946.6804402978</v>
      </c>
      <c r="R47" s="48">
        <f t="shared" si="71"/>
        <v>2.9866666666666668</v>
      </c>
      <c r="S47" s="48">
        <f t="shared" si="72"/>
        <v>2.9866666666666668</v>
      </c>
      <c r="T47" s="48">
        <v>100000</v>
      </c>
      <c r="U47" s="48">
        <v>100000</v>
      </c>
      <c r="V47" s="46" t="s">
        <v>19</v>
      </c>
      <c r="W47" s="48">
        <v>1000000</v>
      </c>
      <c r="X47" s="48">
        <v>60000</v>
      </c>
      <c r="Y47" s="75">
        <v>20</v>
      </c>
      <c r="Z47" s="48">
        <f t="shared" si="73"/>
        <v>21600000</v>
      </c>
      <c r="AA47" s="46">
        <v>5000</v>
      </c>
      <c r="AB47" s="46">
        <v>4</v>
      </c>
      <c r="AC47" s="48">
        <v>1.1E+33</v>
      </c>
      <c r="AD47" s="51">
        <v>50</v>
      </c>
      <c r="AE47" s="52" t="s">
        <v>38</v>
      </c>
      <c r="AF47" s="45">
        <f t="shared" si="10"/>
        <v>703876.3628687294</v>
      </c>
      <c r="AG47" s="53">
        <f t="shared" si="74"/>
        <v>9.7184351035573287E-5</v>
      </c>
      <c r="AH47" s="85" t="s">
        <v>171</v>
      </c>
      <c r="AM47" s="8">
        <f t="shared" si="75"/>
        <v>1051575.1986731528</v>
      </c>
      <c r="AN47" s="47" t="s">
        <v>181</v>
      </c>
    </row>
    <row r="48" spans="1:40" s="46" customFormat="1">
      <c r="A48" s="46" t="s">
        <v>201</v>
      </c>
      <c r="B48" s="47" t="s">
        <v>194</v>
      </c>
      <c r="C48" s="46">
        <v>170</v>
      </c>
      <c r="F48" s="46">
        <f t="shared" ref="F48" si="76">C48*3+2</f>
        <v>512</v>
      </c>
      <c r="G48" s="46">
        <f t="shared" ref="G48" si="77">F48/2</f>
        <v>256</v>
      </c>
      <c r="H48" s="48">
        <f>2*PI()*L43/F48</f>
        <v>876209.82604027819</v>
      </c>
      <c r="I48" s="48">
        <f>PI()*L43/G48</f>
        <v>876209.82604027819</v>
      </c>
      <c r="J48" s="8">
        <f t="shared" ref="J48" si="78">COS(85*PI()/180)*L48*2*PI()/F48</f>
        <v>76366.718191336782</v>
      </c>
      <c r="K48" s="48"/>
      <c r="L48" s="48">
        <v>71400000</v>
      </c>
      <c r="M48" s="48">
        <v>1.74E-4</v>
      </c>
      <c r="N48" s="49">
        <v>0.33300000000000002</v>
      </c>
      <c r="O48" s="49">
        <v>1</v>
      </c>
      <c r="P48" s="50">
        <v>2.1</v>
      </c>
      <c r="Q48" s="48">
        <f t="shared" ref="Q48" si="79">2*PI()*L48*(P48/360)</f>
        <v>2616946.6804402978</v>
      </c>
      <c r="R48" s="48">
        <f t="shared" ref="R48" si="80">Q48/H48</f>
        <v>2.9866666666666668</v>
      </c>
      <c r="S48" s="48">
        <f t="shared" ref="S48" si="81">Q48/I48</f>
        <v>2.9866666666666668</v>
      </c>
      <c r="T48" s="48">
        <v>100000</v>
      </c>
      <c r="U48" s="48">
        <v>100000</v>
      </c>
      <c r="V48" s="46" t="s">
        <v>19</v>
      </c>
      <c r="W48" s="48">
        <v>1000000</v>
      </c>
      <c r="X48" s="48">
        <v>60000</v>
      </c>
      <c r="Y48" s="75">
        <v>20</v>
      </c>
      <c r="Z48" s="48">
        <f t="shared" ref="Z48" si="82">AA48*60*60*24/Y48</f>
        <v>21600000</v>
      </c>
      <c r="AA48" s="46">
        <v>5000</v>
      </c>
      <c r="AB48" s="46">
        <v>4</v>
      </c>
      <c r="AC48" s="48">
        <v>1.0999999999999999E+35</v>
      </c>
      <c r="AD48" s="51">
        <v>50</v>
      </c>
      <c r="AE48" s="52" t="s">
        <v>38</v>
      </c>
      <c r="AF48" s="45">
        <f t="shared" si="10"/>
        <v>703876.3628687294</v>
      </c>
      <c r="AG48" s="53">
        <f t="shared" ref="AG48" si="83">(AF48/L48)^2</f>
        <v>9.7184351035573287E-5</v>
      </c>
      <c r="AH48" s="85"/>
      <c r="AM48" s="8">
        <f t="shared" ref="AM48" si="84">(1/AC48)*(J48)^8</f>
        <v>10515.75198673153</v>
      </c>
      <c r="AN48" s="47" t="s">
        <v>194</v>
      </c>
    </row>
    <row r="49" spans="1:40" s="46" customFormat="1">
      <c r="A49" s="46" t="s">
        <v>201</v>
      </c>
      <c r="B49" s="47" t="s">
        <v>195</v>
      </c>
      <c r="C49" s="46">
        <v>170</v>
      </c>
      <c r="F49" s="46">
        <f t="shared" si="67"/>
        <v>512</v>
      </c>
      <c r="G49" s="46">
        <f t="shared" si="68"/>
        <v>256</v>
      </c>
      <c r="H49" s="48">
        <f>2*PI()*L44/F49</f>
        <v>876209.82604027819</v>
      </c>
      <c r="I49" s="48">
        <f>PI()*L44/G49</f>
        <v>876209.82604027819</v>
      </c>
      <c r="J49" s="8">
        <f t="shared" si="69"/>
        <v>76366.718191336782</v>
      </c>
      <c r="K49" s="48"/>
      <c r="L49" s="48">
        <v>71400000</v>
      </c>
      <c r="M49" s="48">
        <v>1.74E-4</v>
      </c>
      <c r="N49" s="49">
        <v>0.33300000000000002</v>
      </c>
      <c r="O49" s="49">
        <v>1</v>
      </c>
      <c r="P49" s="50">
        <v>2.1</v>
      </c>
      <c r="Q49" s="48">
        <f t="shared" si="70"/>
        <v>2616946.6804402978</v>
      </c>
      <c r="R49" s="48">
        <f t="shared" si="71"/>
        <v>2.9866666666666668</v>
      </c>
      <c r="S49" s="48">
        <f t="shared" si="72"/>
        <v>2.9866666666666668</v>
      </c>
      <c r="T49" s="48">
        <v>100000</v>
      </c>
      <c r="U49" s="48">
        <v>100000</v>
      </c>
      <c r="V49" s="46" t="s">
        <v>19</v>
      </c>
      <c r="W49" s="48">
        <v>1000000</v>
      </c>
      <c r="X49" s="48">
        <v>60000</v>
      </c>
      <c r="Y49" s="75">
        <v>20</v>
      </c>
      <c r="Z49" s="48">
        <f t="shared" si="73"/>
        <v>21600000</v>
      </c>
      <c r="AA49" s="46">
        <v>5000</v>
      </c>
      <c r="AB49" s="46">
        <v>4</v>
      </c>
      <c r="AC49" s="48">
        <v>1.1E+37</v>
      </c>
      <c r="AD49" s="51">
        <v>50</v>
      </c>
      <c r="AE49" s="52" t="s">
        <v>38</v>
      </c>
      <c r="AF49" s="45">
        <f t="shared" si="10"/>
        <v>703876.3628687294</v>
      </c>
      <c r="AG49" s="53">
        <f t="shared" si="74"/>
        <v>9.7184351035573287E-5</v>
      </c>
      <c r="AH49" s="85"/>
      <c r="AM49" s="8">
        <f t="shared" si="75"/>
        <v>105.15751986731529</v>
      </c>
      <c r="AN49" s="47" t="s">
        <v>195</v>
      </c>
    </row>
    <row r="50" spans="1:40" s="46" customFormat="1">
      <c r="A50" s="46" t="s">
        <v>201</v>
      </c>
      <c r="B50" s="47" t="s">
        <v>196</v>
      </c>
      <c r="C50" s="46">
        <v>170</v>
      </c>
      <c r="F50" s="46">
        <f t="shared" si="67"/>
        <v>512</v>
      </c>
      <c r="G50" s="46">
        <f t="shared" si="68"/>
        <v>256</v>
      </c>
      <c r="H50" s="48">
        <f>2*PI()*L44/F50</f>
        <v>876209.82604027819</v>
      </c>
      <c r="I50" s="48">
        <f>PI()*L44/G50</f>
        <v>876209.82604027819</v>
      </c>
      <c r="J50" s="8">
        <f t="shared" si="69"/>
        <v>76366.718191336782</v>
      </c>
      <c r="K50" s="48"/>
      <c r="L50" s="48">
        <v>71400000</v>
      </c>
      <c r="M50" s="48">
        <v>1.74E-4</v>
      </c>
      <c r="N50" s="49">
        <v>0.33300000000000002</v>
      </c>
      <c r="O50" s="49">
        <v>1</v>
      </c>
      <c r="P50" s="50">
        <v>2.1</v>
      </c>
      <c r="Q50" s="48">
        <f t="shared" si="70"/>
        <v>2616946.6804402978</v>
      </c>
      <c r="R50" s="48">
        <f t="shared" si="71"/>
        <v>2.9866666666666668</v>
      </c>
      <c r="S50" s="48">
        <f t="shared" si="72"/>
        <v>2.9866666666666668</v>
      </c>
      <c r="T50" s="48">
        <v>100000</v>
      </c>
      <c r="U50" s="48">
        <v>100000</v>
      </c>
      <c r="V50" s="46" t="s">
        <v>19</v>
      </c>
      <c r="W50" s="48">
        <v>1000000</v>
      </c>
      <c r="X50" s="48">
        <v>60000</v>
      </c>
      <c r="Y50" s="75">
        <v>20</v>
      </c>
      <c r="Z50" s="48">
        <f t="shared" si="73"/>
        <v>21600000</v>
      </c>
      <c r="AA50" s="46">
        <v>5000</v>
      </c>
      <c r="AB50" s="46">
        <v>4</v>
      </c>
      <c r="AC50" s="48">
        <v>1.1000000000000001E+39</v>
      </c>
      <c r="AD50" s="51">
        <v>50</v>
      </c>
      <c r="AE50" s="52" t="s">
        <v>38</v>
      </c>
      <c r="AF50" s="45">
        <f t="shared" si="10"/>
        <v>703876.3628687294</v>
      </c>
      <c r="AG50" s="53">
        <f t="shared" si="74"/>
        <v>9.7184351035573287E-5</v>
      </c>
      <c r="AH50" s="86"/>
      <c r="AM50" s="8">
        <f t="shared" si="75"/>
        <v>1.0515751986731527</v>
      </c>
      <c r="AN50" s="47" t="s">
        <v>196</v>
      </c>
    </row>
    <row r="51" spans="1:40" s="46" customFormat="1">
      <c r="A51" s="46" t="s">
        <v>216</v>
      </c>
      <c r="B51" s="47" t="s">
        <v>202</v>
      </c>
      <c r="C51" s="46">
        <v>170</v>
      </c>
      <c r="F51" s="46">
        <f t="shared" ref="F51" si="85">C51*3+2</f>
        <v>512</v>
      </c>
      <c r="G51" s="46">
        <f t="shared" ref="G51" si="86">F51/2</f>
        <v>256</v>
      </c>
      <c r="H51" s="48">
        <f>2*PI()*L43/F51</f>
        <v>876209.82604027819</v>
      </c>
      <c r="I51" s="48">
        <f>PI()*L43/G51</f>
        <v>876209.82604027819</v>
      </c>
      <c r="J51" s="48">
        <f t="shared" ref="J51" si="87">COS(85*PI()/180)*L51*2*PI()/F51</f>
        <v>76366.718191336782</v>
      </c>
      <c r="K51" s="48"/>
      <c r="L51" s="48">
        <v>71400000</v>
      </c>
      <c r="M51" s="48">
        <v>1.74E-4</v>
      </c>
      <c r="N51" s="49">
        <v>0.33300000000000002</v>
      </c>
      <c r="O51" s="49">
        <v>1</v>
      </c>
      <c r="P51" s="50">
        <v>2.1</v>
      </c>
      <c r="Q51" s="48">
        <f t="shared" ref="Q51" si="88">2*PI()*L51*(P51/360)</f>
        <v>2616946.6804402978</v>
      </c>
      <c r="R51" s="48">
        <f t="shared" ref="R51" si="89">Q51/H51</f>
        <v>2.9866666666666668</v>
      </c>
      <c r="S51" s="48">
        <f t="shared" ref="S51" si="90">Q51/I51</f>
        <v>2.9866666666666668</v>
      </c>
      <c r="T51" s="48">
        <v>100000</v>
      </c>
      <c r="U51" s="48">
        <v>100000</v>
      </c>
      <c r="V51" s="46" t="s">
        <v>19</v>
      </c>
      <c r="W51" s="48">
        <v>1000000</v>
      </c>
      <c r="X51" s="48">
        <v>60000</v>
      </c>
      <c r="Y51" s="75">
        <v>20</v>
      </c>
      <c r="Z51" s="48">
        <f t="shared" ref="Z51" si="91">AA51*60*60*24/Y51</f>
        <v>21600000</v>
      </c>
      <c r="AA51" s="46">
        <v>5000</v>
      </c>
      <c r="AB51" s="46">
        <v>4</v>
      </c>
      <c r="AC51" s="48">
        <v>1.0999999999999999E+41</v>
      </c>
      <c r="AD51" s="51">
        <v>50</v>
      </c>
      <c r="AE51" s="52" t="s">
        <v>38</v>
      </c>
      <c r="AF51" s="45">
        <f t="shared" si="10"/>
        <v>703876.3628687294</v>
      </c>
      <c r="AG51" s="53">
        <f t="shared" ref="AG51" si="92">(AF51/L51)^2</f>
        <v>9.7184351035573287E-5</v>
      </c>
      <c r="AM51" s="48">
        <f t="shared" ref="AM51" si="93">(1/AC51)*(J51)^8</f>
        <v>1.0515751986731528E-2</v>
      </c>
      <c r="AN51" s="47" t="s">
        <v>202</v>
      </c>
    </row>
    <row r="52" spans="1:40" s="96" customFormat="1">
      <c r="A52" s="96" t="s">
        <v>220</v>
      </c>
      <c r="B52" s="97" t="s">
        <v>203</v>
      </c>
      <c r="C52" s="96">
        <v>170</v>
      </c>
      <c r="F52" s="96">
        <f t="shared" si="67"/>
        <v>512</v>
      </c>
      <c r="G52" s="96">
        <f t="shared" si="68"/>
        <v>256</v>
      </c>
      <c r="H52" s="98">
        <f>2*PI()*L44/F52</f>
        <v>876209.82604027819</v>
      </c>
      <c r="I52" s="98">
        <f>PI()*L44/G52</f>
        <v>876209.82604027819</v>
      </c>
      <c r="J52" s="98">
        <f t="shared" si="69"/>
        <v>76366.718191336782</v>
      </c>
      <c r="K52" s="98"/>
      <c r="L52" s="98">
        <v>71400000</v>
      </c>
      <c r="M52" s="98">
        <v>1.74E-4</v>
      </c>
      <c r="N52" s="99">
        <v>0.33300000000000002</v>
      </c>
      <c r="O52" s="99">
        <v>1</v>
      </c>
      <c r="P52" s="100">
        <v>2.1</v>
      </c>
      <c r="Q52" s="98">
        <f t="shared" si="70"/>
        <v>2616946.6804402978</v>
      </c>
      <c r="R52" s="98">
        <f t="shared" si="71"/>
        <v>2.9866666666666668</v>
      </c>
      <c r="S52" s="98">
        <f t="shared" si="72"/>
        <v>2.9866666666666668</v>
      </c>
      <c r="T52" s="98">
        <v>100000</v>
      </c>
      <c r="U52" s="98">
        <v>100000</v>
      </c>
      <c r="V52" s="96" t="s">
        <v>19</v>
      </c>
      <c r="W52" s="98">
        <v>1000000</v>
      </c>
      <c r="X52" s="98">
        <v>60000</v>
      </c>
      <c r="Y52" s="101">
        <v>20</v>
      </c>
      <c r="Z52" s="98">
        <f t="shared" si="73"/>
        <v>21600000</v>
      </c>
      <c r="AA52" s="96">
        <v>5000</v>
      </c>
      <c r="AB52" s="96">
        <v>4</v>
      </c>
      <c r="AC52" s="98">
        <v>1.1E+43</v>
      </c>
      <c r="AD52" s="102">
        <v>50</v>
      </c>
      <c r="AE52" s="103" t="s">
        <v>38</v>
      </c>
      <c r="AF52" s="45">
        <f t="shared" si="10"/>
        <v>703876.3628687294</v>
      </c>
      <c r="AG52" s="104">
        <f t="shared" si="74"/>
        <v>9.7184351035573287E-5</v>
      </c>
      <c r="AM52" s="98">
        <f t="shared" si="75"/>
        <v>1.0515751986731529E-4</v>
      </c>
      <c r="AN52" s="97" t="s">
        <v>203</v>
      </c>
    </row>
    <row r="53" spans="1:40" s="46" customFormat="1">
      <c r="A53" s="46" t="s">
        <v>205</v>
      </c>
      <c r="B53" s="47" t="s">
        <v>204</v>
      </c>
      <c r="C53" s="46">
        <v>170</v>
      </c>
      <c r="F53" s="46">
        <f t="shared" ref="F53" si="94">C53*3+2</f>
        <v>512</v>
      </c>
      <c r="G53" s="46">
        <f t="shared" ref="G53" si="95">F53/2</f>
        <v>256</v>
      </c>
      <c r="H53" s="48">
        <f>2*PI()*L45/F53</f>
        <v>876209.82604027819</v>
      </c>
      <c r="I53" s="48">
        <f>PI()*L45/G53</f>
        <v>876209.82604027819</v>
      </c>
      <c r="J53" s="8">
        <f t="shared" ref="J53" si="96">COS(85*PI()/180)*L53*2*PI()/F53</f>
        <v>76366.718191336782</v>
      </c>
      <c r="K53" s="48"/>
      <c r="L53" s="48">
        <v>71400000</v>
      </c>
      <c r="M53" s="48">
        <v>1.74E-4</v>
      </c>
      <c r="N53" s="49">
        <v>0.33300000000000002</v>
      </c>
      <c r="O53" s="49">
        <v>1</v>
      </c>
      <c r="P53" s="50">
        <v>2.1</v>
      </c>
      <c r="Q53" s="48">
        <f t="shared" ref="Q53" si="97">2*PI()*L53*(P53/360)</f>
        <v>2616946.6804402978</v>
      </c>
      <c r="R53" s="48">
        <f t="shared" ref="R53" si="98">Q53/H53</f>
        <v>2.9866666666666668</v>
      </c>
      <c r="S53" s="48">
        <f t="shared" ref="S53" si="99">Q53/I53</f>
        <v>2.9866666666666668</v>
      </c>
      <c r="T53" s="48">
        <v>100000</v>
      </c>
      <c r="U53" s="48">
        <v>100000</v>
      </c>
      <c r="V53" s="46" t="s">
        <v>19</v>
      </c>
      <c r="W53" s="48">
        <v>1000000</v>
      </c>
      <c r="X53" s="48">
        <v>60000</v>
      </c>
      <c r="Y53" s="75">
        <v>20</v>
      </c>
      <c r="Z53" s="48">
        <f t="shared" ref="Z53" si="100">AA53*60*60*24/Y53</f>
        <v>21600000</v>
      </c>
      <c r="AA53" s="46">
        <v>5000</v>
      </c>
      <c r="AB53" s="46">
        <v>4</v>
      </c>
      <c r="AC53" s="48">
        <v>1.1E+45</v>
      </c>
      <c r="AD53" s="51">
        <v>50</v>
      </c>
      <c r="AE53" s="52" t="s">
        <v>38</v>
      </c>
      <c r="AF53" s="45">
        <f t="shared" si="10"/>
        <v>703876.3628687294</v>
      </c>
      <c r="AG53" s="53">
        <f t="shared" ref="AG53" si="101">(AF53/L53)^2</f>
        <v>9.7184351035573287E-5</v>
      </c>
      <c r="AH53" s="85"/>
      <c r="AM53" s="8">
        <f t="shared" ref="AM53" si="102">(1/AC53)*(J53)^8</f>
        <v>1.0515751986731528E-6</v>
      </c>
      <c r="AN53" s="47" t="s">
        <v>204</v>
      </c>
    </row>
    <row r="54" spans="1:40" s="15" customFormat="1">
      <c r="B54" s="14" t="s">
        <v>110</v>
      </c>
      <c r="D54" s="15">
        <v>256</v>
      </c>
      <c r="E54" s="15">
        <v>149</v>
      </c>
      <c r="F54" s="15">
        <f>D54*3</f>
        <v>768</v>
      </c>
      <c r="G54" s="15">
        <f>E54*(18/7)</f>
        <v>383.14285714285717</v>
      </c>
      <c r="H54" s="16">
        <f>2*PI()*L54/D54/3</f>
        <v>584139.88402685209</v>
      </c>
      <c r="I54" s="16">
        <f>PI()*L54*(7/18)/E54</f>
        <v>585446.68466225895</v>
      </c>
      <c r="J54" s="8">
        <f t="shared" si="8"/>
        <v>50911.145460891188</v>
      </c>
      <c r="K54" s="16"/>
      <c r="L54" s="16">
        <v>71400000</v>
      </c>
      <c r="M54" s="16">
        <v>1.74E-4</v>
      </c>
      <c r="N54" s="17">
        <v>0.33300000000000002</v>
      </c>
      <c r="O54" s="17">
        <v>1</v>
      </c>
      <c r="P54" s="18">
        <v>2.1</v>
      </c>
      <c r="Q54" s="16">
        <f t="shared" si="64"/>
        <v>2616946.6804402978</v>
      </c>
      <c r="R54" s="16">
        <f t="shared" si="65"/>
        <v>4.4800000000000004</v>
      </c>
      <c r="S54" s="16">
        <f t="shared" si="66"/>
        <v>4.4700000000000006</v>
      </c>
      <c r="T54" s="16">
        <v>100000</v>
      </c>
      <c r="U54" s="16">
        <v>100000</v>
      </c>
      <c r="V54" s="15" t="s">
        <v>19</v>
      </c>
      <c r="W54" s="16">
        <v>1000000</v>
      </c>
      <c r="X54" s="65">
        <v>300000</v>
      </c>
      <c r="AB54" s="15">
        <v>4</v>
      </c>
      <c r="AD54" s="25"/>
      <c r="AE54" s="29"/>
      <c r="AF54" s="45">
        <f t="shared" si="10"/>
        <v>1573915.3951297877</v>
      </c>
      <c r="AG54" s="66">
        <f t="shared" ref="AG54:AG55" si="103">(AF54/L54)^2</f>
        <v>4.8592175517786637E-4</v>
      </c>
      <c r="AL54" s="95"/>
      <c r="AM54" s="8" t="e">
        <f t="shared" si="12"/>
        <v>#DIV/0!</v>
      </c>
      <c r="AN54" s="14" t="s">
        <v>110</v>
      </c>
    </row>
    <row r="55" spans="1:40" s="42" customFormat="1">
      <c r="A55" s="42" t="s">
        <v>151</v>
      </c>
      <c r="B55" s="5" t="s">
        <v>111</v>
      </c>
      <c r="C55" s="42">
        <v>170</v>
      </c>
      <c r="F55" s="42">
        <f t="shared" ref="F55" si="104">C55*3+2</f>
        <v>512</v>
      </c>
      <c r="G55" s="42">
        <f t="shared" ref="G55" si="105">F55/2</f>
        <v>256</v>
      </c>
      <c r="H55" s="8">
        <f t="shared" ref="H55" si="106">2*PI()*L54/F55</f>
        <v>876209.82604027819</v>
      </c>
      <c r="I55" s="8">
        <f t="shared" ref="I55" si="107">PI()*L54/G55</f>
        <v>876209.82604027819</v>
      </c>
      <c r="J55" s="8">
        <f t="shared" si="8"/>
        <v>76366.718191336782</v>
      </c>
      <c r="K55" s="8"/>
      <c r="L55" s="8">
        <v>71400000</v>
      </c>
      <c r="M55" s="8">
        <v>1.74E-4</v>
      </c>
      <c r="N55" s="9">
        <v>0.33300000000000002</v>
      </c>
      <c r="O55" s="9">
        <v>1</v>
      </c>
      <c r="P55" s="10">
        <v>2.1</v>
      </c>
      <c r="Q55" s="8">
        <f t="shared" si="64"/>
        <v>2616946.6804402978</v>
      </c>
      <c r="R55" s="8">
        <f t="shared" si="65"/>
        <v>2.9866666666666668</v>
      </c>
      <c r="S55" s="8">
        <f t="shared" si="66"/>
        <v>2.9866666666666668</v>
      </c>
      <c r="T55" s="8">
        <v>100000</v>
      </c>
      <c r="U55" s="8">
        <v>100000</v>
      </c>
      <c r="V55" s="42" t="s">
        <v>19</v>
      </c>
      <c r="W55" s="8">
        <v>1000000</v>
      </c>
      <c r="X55" s="35">
        <v>300000</v>
      </c>
      <c r="Y55" s="42">
        <v>10</v>
      </c>
      <c r="Z55" s="8">
        <f t="shared" ref="Z55" si="108">AA55*60*60*24/Y55</f>
        <v>43200000</v>
      </c>
      <c r="AA55" s="42">
        <v>5000</v>
      </c>
      <c r="AB55" s="42">
        <v>4</v>
      </c>
      <c r="AC55" s="8">
        <v>5.7799999999999997E+46</v>
      </c>
      <c r="AD55" s="24">
        <v>50</v>
      </c>
      <c r="AE55" s="26" t="s">
        <v>38</v>
      </c>
      <c r="AF55" s="45">
        <f t="shared" si="10"/>
        <v>1573915.3951297877</v>
      </c>
      <c r="AG55" s="45">
        <f t="shared" si="103"/>
        <v>4.8592175517786637E-4</v>
      </c>
      <c r="AJ55" s="73"/>
      <c r="AK55" s="63"/>
      <c r="AL55" s="95"/>
      <c r="AM55" s="8">
        <f t="shared" si="12"/>
        <v>2.0012676791357582E-8</v>
      </c>
      <c r="AN55" s="5" t="s">
        <v>111</v>
      </c>
    </row>
    <row r="56" spans="1:40" s="84" customFormat="1">
      <c r="A56" s="84" t="s">
        <v>179</v>
      </c>
      <c r="B56" s="5" t="s">
        <v>165</v>
      </c>
      <c r="C56" s="84">
        <v>170</v>
      </c>
      <c r="F56" s="84">
        <f t="shared" ref="F56:F57" si="109">C56*3+2</f>
        <v>512</v>
      </c>
      <c r="G56" s="84">
        <f t="shared" ref="G56:G57" si="110">F56/2</f>
        <v>256</v>
      </c>
      <c r="H56" s="8">
        <f t="shared" ref="H56" si="111">2*PI()*L55/F56</f>
        <v>876209.82604027819</v>
      </c>
      <c r="I56" s="8">
        <f t="shared" ref="I56" si="112">PI()*L55/G56</f>
        <v>876209.82604027819</v>
      </c>
      <c r="J56" s="8">
        <f t="shared" ref="J56:J57" si="113">COS(85*PI()/180)*L56*2*PI()/F56</f>
        <v>76366.718191336782</v>
      </c>
      <c r="K56" s="8"/>
      <c r="L56" s="8">
        <v>71400000</v>
      </c>
      <c r="M56" s="8">
        <v>1.74E-4</v>
      </c>
      <c r="N56" s="9">
        <v>0.33300000000000002</v>
      </c>
      <c r="O56" s="9">
        <v>1</v>
      </c>
      <c r="P56" s="10">
        <v>2.1</v>
      </c>
      <c r="Q56" s="8">
        <f t="shared" ref="Q56:Q57" si="114">2*PI()*L56*(P56/360)</f>
        <v>2616946.6804402978</v>
      </c>
      <c r="R56" s="8">
        <f t="shared" ref="R56:R57" si="115">Q56/H56</f>
        <v>2.9866666666666668</v>
      </c>
      <c r="S56" s="8">
        <f t="shared" ref="S56:S57" si="116">Q56/I56</f>
        <v>2.9866666666666668</v>
      </c>
      <c r="T56" s="8">
        <v>100000</v>
      </c>
      <c r="U56" s="8">
        <v>100000</v>
      </c>
      <c r="V56" s="84" t="s">
        <v>19</v>
      </c>
      <c r="W56" s="8">
        <v>1000000</v>
      </c>
      <c r="X56" s="35">
        <v>300000</v>
      </c>
      <c r="Y56" s="84">
        <v>20</v>
      </c>
      <c r="Z56" s="8">
        <f t="shared" ref="Z56:Z57" si="117">AA56*60*60*24/Y56</f>
        <v>21600000</v>
      </c>
      <c r="AA56" s="84">
        <v>5000</v>
      </c>
      <c r="AB56" s="84">
        <v>4</v>
      </c>
      <c r="AC56" s="8">
        <v>1.2E+32</v>
      </c>
      <c r="AD56" s="24">
        <v>50</v>
      </c>
      <c r="AE56" s="26" t="s">
        <v>38</v>
      </c>
      <c r="AF56" s="45">
        <f t="shared" si="10"/>
        <v>1573915.3951297877</v>
      </c>
      <c r="AG56" s="45">
        <f t="shared" ref="AG56:AG57" si="118">(AF56/L56)^2</f>
        <v>4.8592175517786637E-4</v>
      </c>
      <c r="AL56" s="95"/>
      <c r="AM56" s="8">
        <f t="shared" ref="AM56:AM57" si="119">(1/AC56)*(J56)^8</f>
        <v>9639439.3211705685</v>
      </c>
      <c r="AN56" s="5" t="s">
        <v>165</v>
      </c>
    </row>
    <row r="57" spans="1:40" s="88" customFormat="1">
      <c r="A57" s="88" t="s">
        <v>189</v>
      </c>
      <c r="B57" s="5" t="s">
        <v>182</v>
      </c>
      <c r="C57" s="88">
        <v>170</v>
      </c>
      <c r="F57" s="88">
        <f t="shared" si="109"/>
        <v>512</v>
      </c>
      <c r="G57" s="88">
        <f t="shared" si="110"/>
        <v>256</v>
      </c>
      <c r="H57" s="8">
        <f t="shared" ref="H57" si="120">2*PI()*L55/F57</f>
        <v>876209.82604027819</v>
      </c>
      <c r="I57" s="8">
        <f t="shared" ref="I57" si="121">PI()*L55/G57</f>
        <v>876209.82604027819</v>
      </c>
      <c r="J57" s="8">
        <f t="shared" si="113"/>
        <v>76366.718191336782</v>
      </c>
      <c r="K57" s="8"/>
      <c r="L57" s="8">
        <v>71400000</v>
      </c>
      <c r="M57" s="8">
        <v>1.74E-4</v>
      </c>
      <c r="N57" s="9">
        <v>0.33300000000000002</v>
      </c>
      <c r="O57" s="9">
        <v>1</v>
      </c>
      <c r="P57" s="10">
        <v>2.1</v>
      </c>
      <c r="Q57" s="8">
        <f t="shared" si="114"/>
        <v>2616946.6804402978</v>
      </c>
      <c r="R57" s="8">
        <f t="shared" si="115"/>
        <v>2.9866666666666668</v>
      </c>
      <c r="S57" s="8">
        <f t="shared" si="116"/>
        <v>2.9866666666666668</v>
      </c>
      <c r="T57" s="8">
        <v>100000</v>
      </c>
      <c r="U57" s="8">
        <v>100000</v>
      </c>
      <c r="V57" s="88" t="s">
        <v>19</v>
      </c>
      <c r="W57" s="8">
        <v>1000000</v>
      </c>
      <c r="X57" s="35">
        <v>300000</v>
      </c>
      <c r="Y57" s="88">
        <v>20</v>
      </c>
      <c r="Z57" s="8">
        <f t="shared" si="117"/>
        <v>21600000</v>
      </c>
      <c r="AA57" s="88">
        <v>5000</v>
      </c>
      <c r="AB57" s="88">
        <v>4</v>
      </c>
      <c r="AC57" s="8">
        <v>1.1E+33</v>
      </c>
      <c r="AD57" s="24">
        <v>50</v>
      </c>
      <c r="AE57" s="26" t="s">
        <v>38</v>
      </c>
      <c r="AF57" s="45">
        <f t="shared" si="10"/>
        <v>1573915.3951297877</v>
      </c>
      <c r="AG57" s="45">
        <f t="shared" si="118"/>
        <v>4.8592175517786637E-4</v>
      </c>
      <c r="AL57" s="95"/>
      <c r="AM57" s="8">
        <f t="shared" si="119"/>
        <v>1051575.1986731528</v>
      </c>
      <c r="AN57" s="5" t="s">
        <v>182</v>
      </c>
    </row>
    <row r="58" spans="1:40" s="96" customFormat="1">
      <c r="A58" s="96" t="s">
        <v>236</v>
      </c>
      <c r="B58" s="97" t="s">
        <v>214</v>
      </c>
      <c r="C58" s="96">
        <v>170</v>
      </c>
      <c r="F58" s="96">
        <f t="shared" ref="F58" si="122">C58*3+2</f>
        <v>512</v>
      </c>
      <c r="G58" s="96">
        <f t="shared" ref="G58" si="123">F58/2</f>
        <v>256</v>
      </c>
      <c r="H58" s="98">
        <f t="shared" ref="H58" si="124">2*PI()*L56/F58</f>
        <v>876209.82604027819</v>
      </c>
      <c r="I58" s="98">
        <f t="shared" ref="I58" si="125">PI()*L56/G58</f>
        <v>876209.82604027819</v>
      </c>
      <c r="J58" s="98">
        <f t="shared" ref="J58" si="126">COS(85*PI()/180)*L58*2*PI()/F58</f>
        <v>76366.718191336782</v>
      </c>
      <c r="K58" s="98"/>
      <c r="L58" s="98">
        <v>71400000</v>
      </c>
      <c r="M58" s="98">
        <v>1.74E-4</v>
      </c>
      <c r="N58" s="99">
        <v>0.33300000000000002</v>
      </c>
      <c r="O58" s="99">
        <v>1</v>
      </c>
      <c r="P58" s="100">
        <v>2.1</v>
      </c>
      <c r="Q58" s="98">
        <f t="shared" ref="Q58" si="127">2*PI()*L58*(P58/360)</f>
        <v>2616946.6804402978</v>
      </c>
      <c r="R58" s="98">
        <f t="shared" ref="R58" si="128">Q58/H58</f>
        <v>2.9866666666666668</v>
      </c>
      <c r="S58" s="98">
        <f t="shared" ref="S58" si="129">Q58/I58</f>
        <v>2.9866666666666668</v>
      </c>
      <c r="T58" s="98">
        <v>100000</v>
      </c>
      <c r="U58" s="98">
        <v>100000</v>
      </c>
      <c r="V58" s="96" t="s">
        <v>19</v>
      </c>
      <c r="W58" s="98">
        <v>1000000</v>
      </c>
      <c r="X58" s="98">
        <v>300000</v>
      </c>
      <c r="Y58" s="96">
        <v>20</v>
      </c>
      <c r="Z58" s="98">
        <f t="shared" ref="Z58" si="130">AA58*60*60*24/Y58</f>
        <v>21600000</v>
      </c>
      <c r="AA58" s="96">
        <v>5000</v>
      </c>
      <c r="AB58" s="96">
        <v>4</v>
      </c>
      <c r="AC58" s="98">
        <v>1.0999999999999999E+41</v>
      </c>
      <c r="AD58" s="102">
        <v>50</v>
      </c>
      <c r="AE58" s="103" t="s">
        <v>38</v>
      </c>
      <c r="AF58" s="104">
        <f t="shared" si="10"/>
        <v>1573915.3951297877</v>
      </c>
      <c r="AG58" s="104">
        <f t="shared" ref="AG58" si="131">(AF58/L58)^2</f>
        <v>4.8592175517786637E-4</v>
      </c>
      <c r="AM58" s="98">
        <f t="shared" ref="AM58" si="132">(1/AC58)*(J58)^8</f>
        <v>1.0515751986731528E-2</v>
      </c>
      <c r="AN58" s="97" t="s">
        <v>214</v>
      </c>
    </row>
    <row r="59" spans="1:40" s="63" customFormat="1">
      <c r="B59" s="5"/>
      <c r="H59" s="8"/>
      <c r="I59" s="8"/>
      <c r="J59" s="8" t="e">
        <f t="shared" si="8"/>
        <v>#DIV/0!</v>
      </c>
      <c r="K59" s="8"/>
      <c r="L59" s="8"/>
      <c r="M59" s="8"/>
      <c r="N59" s="9"/>
      <c r="O59" s="9"/>
      <c r="P59" s="10"/>
      <c r="Q59" s="8"/>
      <c r="R59" s="8"/>
      <c r="S59" s="8"/>
      <c r="T59" s="8"/>
      <c r="U59" s="8"/>
      <c r="W59" s="8"/>
      <c r="X59" s="35"/>
      <c r="Z59" s="8"/>
      <c r="AC59" s="8"/>
      <c r="AD59" s="24"/>
      <c r="AE59" s="26"/>
      <c r="AF59" s="45" t="e">
        <f t="shared" si="10"/>
        <v>#DIV/0!</v>
      </c>
      <c r="AG59" s="45"/>
      <c r="AJ59" s="73"/>
      <c r="AL59" s="95"/>
      <c r="AM59" s="8" t="e">
        <f t="shared" si="12"/>
        <v>#DIV/0!</v>
      </c>
      <c r="AN59" s="5"/>
    </row>
    <row r="60" spans="1:40" s="15" customFormat="1">
      <c r="B60" s="14" t="s">
        <v>116</v>
      </c>
      <c r="D60" s="15">
        <v>256</v>
      </c>
      <c r="E60" s="15">
        <v>149</v>
      </c>
      <c r="F60" s="15">
        <f>D60*3</f>
        <v>768</v>
      </c>
      <c r="G60" s="15">
        <f>E60*(18/7)</f>
        <v>383.14285714285717</v>
      </c>
      <c r="H60" s="16">
        <f>2*PI()*L60/D60/3</f>
        <v>584139.88402685209</v>
      </c>
      <c r="I60" s="16">
        <f>PI()*L60*(7/18)/E60</f>
        <v>585446.68466225895</v>
      </c>
      <c r="J60" s="8">
        <f t="shared" si="8"/>
        <v>50911.145460891188</v>
      </c>
      <c r="K60" s="16"/>
      <c r="L60" s="16">
        <v>71400000</v>
      </c>
      <c r="M60" s="16">
        <v>1.74E-4</v>
      </c>
      <c r="N60" s="17">
        <v>0.33300000000000002</v>
      </c>
      <c r="O60" s="17">
        <v>1</v>
      </c>
      <c r="P60" s="18">
        <v>2.1</v>
      </c>
      <c r="Q60" s="16">
        <f t="shared" ref="Q60:Q61" si="133">2*PI()*L60*(P60/360)</f>
        <v>2616946.6804402978</v>
      </c>
      <c r="R60" s="16">
        <f t="shared" ref="R60:R61" si="134">Q60/H60</f>
        <v>4.4800000000000004</v>
      </c>
      <c r="S60" s="16">
        <f t="shared" ref="S60:S61" si="135">Q60/I60</f>
        <v>4.4700000000000006</v>
      </c>
      <c r="T60" s="16">
        <v>100000</v>
      </c>
      <c r="U60" s="16">
        <v>100000</v>
      </c>
      <c r="V60" s="15" t="s">
        <v>19</v>
      </c>
      <c r="W60" s="16">
        <v>1000000</v>
      </c>
      <c r="X60" s="65">
        <v>900000</v>
      </c>
      <c r="AB60" s="15">
        <v>4</v>
      </c>
      <c r="AD60" s="25"/>
      <c r="AE60" s="29"/>
      <c r="AF60" s="45">
        <f t="shared" si="10"/>
        <v>2726101.4311796376</v>
      </c>
      <c r="AG60" s="66">
        <f t="shared" ref="AG60:AG61" si="136">(AF60/L60)^2</f>
        <v>1.4577652655335994E-3</v>
      </c>
      <c r="AL60" s="95"/>
      <c r="AM60" s="8" t="e">
        <f t="shared" si="12"/>
        <v>#DIV/0!</v>
      </c>
      <c r="AN60" s="14" t="s">
        <v>116</v>
      </c>
    </row>
    <row r="61" spans="1:40" s="63" customFormat="1">
      <c r="A61" s="63" t="s">
        <v>152</v>
      </c>
      <c r="B61" s="5" t="s">
        <v>117</v>
      </c>
      <c r="C61" s="63">
        <v>170</v>
      </c>
      <c r="F61" s="63">
        <f t="shared" ref="F61" si="137">C61*3+2</f>
        <v>512</v>
      </c>
      <c r="G61" s="63">
        <f t="shared" ref="G61" si="138">F61/2</f>
        <v>256</v>
      </c>
      <c r="H61" s="8">
        <f t="shared" ref="H61" si="139">2*PI()*L60/F61</f>
        <v>876209.82604027819</v>
      </c>
      <c r="I61" s="8">
        <f t="shared" ref="I61" si="140">PI()*L60/G61</f>
        <v>876209.82604027819</v>
      </c>
      <c r="J61" s="8">
        <f t="shared" si="8"/>
        <v>76366.718191336782</v>
      </c>
      <c r="K61" s="8"/>
      <c r="L61" s="8">
        <v>71400000</v>
      </c>
      <c r="M61" s="8">
        <v>1.74E-4</v>
      </c>
      <c r="N61" s="9">
        <v>0.33300000000000002</v>
      </c>
      <c r="O61" s="9">
        <v>1</v>
      </c>
      <c r="P61" s="10">
        <v>2.1</v>
      </c>
      <c r="Q61" s="8">
        <f t="shared" si="133"/>
        <v>2616946.6804402978</v>
      </c>
      <c r="R61" s="8">
        <f t="shared" si="134"/>
        <v>2.9866666666666668</v>
      </c>
      <c r="S61" s="8">
        <f t="shared" si="135"/>
        <v>2.9866666666666668</v>
      </c>
      <c r="T61" s="8">
        <v>100000</v>
      </c>
      <c r="U61" s="8">
        <v>100000</v>
      </c>
      <c r="V61" s="63" t="s">
        <v>19</v>
      </c>
      <c r="W61" s="8">
        <v>1000000</v>
      </c>
      <c r="X61" s="35">
        <v>900000</v>
      </c>
      <c r="Y61" s="63">
        <v>10</v>
      </c>
      <c r="Z61" s="8">
        <f t="shared" ref="Z61" si="141">AA61*60*60*24/Y61</f>
        <v>43200000</v>
      </c>
      <c r="AA61" s="63">
        <v>5000</v>
      </c>
      <c r="AB61" s="63">
        <v>4</v>
      </c>
      <c r="AC61" s="8">
        <v>5.7799999999999997E+46</v>
      </c>
      <c r="AD61" s="24">
        <v>50</v>
      </c>
      <c r="AE61" s="26" t="s">
        <v>38</v>
      </c>
      <c r="AF61" s="45">
        <f t="shared" si="10"/>
        <v>2726101.4311796376</v>
      </c>
      <c r="AG61" s="45">
        <f t="shared" si="136"/>
        <v>1.4577652655335994E-3</v>
      </c>
      <c r="AJ61" s="73"/>
      <c r="AL61" s="95"/>
      <c r="AM61" s="8">
        <f t="shared" si="12"/>
        <v>2.0012676791357582E-8</v>
      </c>
      <c r="AN61" s="5" t="s">
        <v>117</v>
      </c>
    </row>
    <row r="62" spans="1:40" s="84" customFormat="1">
      <c r="A62" s="84" t="s">
        <v>180</v>
      </c>
      <c r="B62" s="5" t="s">
        <v>166</v>
      </c>
      <c r="C62" s="84">
        <v>170</v>
      </c>
      <c r="F62" s="84">
        <f t="shared" ref="F62:F63" si="142">C62*3+2</f>
        <v>512</v>
      </c>
      <c r="G62" s="84">
        <f t="shared" ref="G62:G63" si="143">F62/2</f>
        <v>256</v>
      </c>
      <c r="H62" s="8">
        <f t="shared" ref="H62" si="144">2*PI()*L61/F62</f>
        <v>876209.82604027819</v>
      </c>
      <c r="I62" s="8">
        <f t="shared" ref="I62" si="145">PI()*L61/G62</f>
        <v>876209.82604027819</v>
      </c>
      <c r="J62" s="8">
        <f t="shared" ref="J62:J63" si="146">COS(85*PI()/180)*L62*2*PI()/F62</f>
        <v>76366.718191336782</v>
      </c>
      <c r="K62" s="8"/>
      <c r="L62" s="8">
        <v>71400000</v>
      </c>
      <c r="M62" s="8">
        <v>1.74E-4</v>
      </c>
      <c r="N62" s="9">
        <v>0.33300000000000002</v>
      </c>
      <c r="O62" s="9">
        <v>1</v>
      </c>
      <c r="P62" s="10">
        <v>2.1</v>
      </c>
      <c r="Q62" s="8">
        <f t="shared" ref="Q62:Q63" si="147">2*PI()*L62*(P62/360)</f>
        <v>2616946.6804402978</v>
      </c>
      <c r="R62" s="8">
        <f t="shared" ref="R62:R63" si="148">Q62/H62</f>
        <v>2.9866666666666668</v>
      </c>
      <c r="S62" s="8">
        <f t="shared" ref="S62:S63" si="149">Q62/I62</f>
        <v>2.9866666666666668</v>
      </c>
      <c r="T62" s="8">
        <v>100000</v>
      </c>
      <c r="U62" s="8">
        <v>100000</v>
      </c>
      <c r="V62" s="84" t="s">
        <v>19</v>
      </c>
      <c r="W62" s="8">
        <v>1000000</v>
      </c>
      <c r="X62" s="35">
        <v>900000</v>
      </c>
      <c r="Y62" s="84">
        <v>20</v>
      </c>
      <c r="Z62" s="8">
        <f t="shared" ref="Z62:Z63" si="150">AA62*60*60*24/Y62</f>
        <v>21600000</v>
      </c>
      <c r="AA62" s="84">
        <v>5000</v>
      </c>
      <c r="AB62" s="84">
        <v>4</v>
      </c>
      <c r="AC62" s="8">
        <v>1.2E+32</v>
      </c>
      <c r="AD62" s="24">
        <v>50</v>
      </c>
      <c r="AE62" s="26" t="s">
        <v>38</v>
      </c>
      <c r="AF62" s="45">
        <f t="shared" si="10"/>
        <v>2726101.4311796376</v>
      </c>
      <c r="AG62" s="45">
        <f t="shared" ref="AG62:AG63" si="151">(AF62/L62)^2</f>
        <v>1.4577652655335994E-3</v>
      </c>
      <c r="AL62" s="95"/>
      <c r="AM62" s="8">
        <f t="shared" ref="AM62:AM63" si="152">(1/AC62)*(J62)^8</f>
        <v>9639439.3211705685</v>
      </c>
      <c r="AN62" s="5" t="s">
        <v>166</v>
      </c>
    </row>
    <row r="63" spans="1:40" s="88" customFormat="1">
      <c r="A63" s="88" t="s">
        <v>190</v>
      </c>
      <c r="B63" s="5" t="s">
        <v>183</v>
      </c>
      <c r="C63" s="88">
        <v>170</v>
      </c>
      <c r="F63" s="88">
        <f t="shared" si="142"/>
        <v>512</v>
      </c>
      <c r="G63" s="88">
        <f t="shared" si="143"/>
        <v>256</v>
      </c>
      <c r="H63" s="8">
        <f t="shared" ref="H63" si="153">2*PI()*L61/F63</f>
        <v>876209.82604027819</v>
      </c>
      <c r="I63" s="8">
        <f t="shared" ref="I63" si="154">PI()*L61/G63</f>
        <v>876209.82604027819</v>
      </c>
      <c r="J63" s="8">
        <f t="shared" si="146"/>
        <v>76366.718191336782</v>
      </c>
      <c r="K63" s="8"/>
      <c r="L63" s="8">
        <v>71400000</v>
      </c>
      <c r="M63" s="8">
        <v>1.74E-4</v>
      </c>
      <c r="N63" s="9">
        <v>0.33300000000000002</v>
      </c>
      <c r="O63" s="9">
        <v>1</v>
      </c>
      <c r="P63" s="10">
        <v>2.1</v>
      </c>
      <c r="Q63" s="8">
        <f t="shared" si="147"/>
        <v>2616946.6804402978</v>
      </c>
      <c r="R63" s="8">
        <f t="shared" si="148"/>
        <v>2.9866666666666668</v>
      </c>
      <c r="S63" s="8">
        <f t="shared" si="149"/>
        <v>2.9866666666666668</v>
      </c>
      <c r="T63" s="8">
        <v>100000</v>
      </c>
      <c r="U63" s="8">
        <v>100000</v>
      </c>
      <c r="V63" s="88" t="s">
        <v>19</v>
      </c>
      <c r="W63" s="8">
        <v>1000000</v>
      </c>
      <c r="X63" s="35">
        <v>900000</v>
      </c>
      <c r="Y63" s="88">
        <v>20</v>
      </c>
      <c r="Z63" s="8">
        <f t="shared" si="150"/>
        <v>21600000</v>
      </c>
      <c r="AA63" s="88">
        <v>5000</v>
      </c>
      <c r="AB63" s="88">
        <v>4</v>
      </c>
      <c r="AC63" s="8">
        <v>1.1E+33</v>
      </c>
      <c r="AD63" s="24">
        <v>50</v>
      </c>
      <c r="AE63" s="26" t="s">
        <v>38</v>
      </c>
      <c r="AF63" s="45">
        <f t="shared" si="10"/>
        <v>2726101.4311796376</v>
      </c>
      <c r="AG63" s="45">
        <f t="shared" si="151"/>
        <v>1.4577652655335994E-3</v>
      </c>
      <c r="AL63" s="95"/>
      <c r="AM63" s="8">
        <f t="shared" si="152"/>
        <v>1051575.1986731528</v>
      </c>
      <c r="AN63" s="5" t="s">
        <v>183</v>
      </c>
    </row>
    <row r="64" spans="1:40" s="96" customFormat="1">
      <c r="A64" s="96" t="s">
        <v>237</v>
      </c>
      <c r="B64" s="97" t="s">
        <v>215</v>
      </c>
      <c r="C64" s="96">
        <v>170</v>
      </c>
      <c r="F64" s="96">
        <f t="shared" ref="F64" si="155">C64*3+2</f>
        <v>512</v>
      </c>
      <c r="G64" s="96">
        <f t="shared" ref="G64" si="156">F64/2</f>
        <v>256</v>
      </c>
      <c r="H64" s="98">
        <f t="shared" ref="H64" si="157">2*PI()*L62/F64</f>
        <v>876209.82604027819</v>
      </c>
      <c r="I64" s="98">
        <f t="shared" ref="I64" si="158">PI()*L62/G64</f>
        <v>876209.82604027819</v>
      </c>
      <c r="J64" s="98">
        <f t="shared" ref="J64" si="159">COS(85*PI()/180)*L64*2*PI()/F64</f>
        <v>76366.718191336782</v>
      </c>
      <c r="K64" s="98"/>
      <c r="L64" s="98">
        <v>71400000</v>
      </c>
      <c r="M64" s="98">
        <v>1.74E-4</v>
      </c>
      <c r="N64" s="99">
        <v>0.33300000000000002</v>
      </c>
      <c r="O64" s="99">
        <v>1</v>
      </c>
      <c r="P64" s="100">
        <v>2.1</v>
      </c>
      <c r="Q64" s="98">
        <f t="shared" ref="Q64" si="160">2*PI()*L64*(P64/360)</f>
        <v>2616946.6804402978</v>
      </c>
      <c r="R64" s="98">
        <f t="shared" ref="R64" si="161">Q64/H64</f>
        <v>2.9866666666666668</v>
      </c>
      <c r="S64" s="98">
        <f t="shared" ref="S64" si="162">Q64/I64</f>
        <v>2.9866666666666668</v>
      </c>
      <c r="T64" s="98">
        <v>100000</v>
      </c>
      <c r="U64" s="98">
        <v>100000</v>
      </c>
      <c r="V64" s="96" t="s">
        <v>19</v>
      </c>
      <c r="W64" s="98">
        <v>1000000</v>
      </c>
      <c r="X64" s="98">
        <v>900000</v>
      </c>
      <c r="Y64" s="96">
        <v>20</v>
      </c>
      <c r="Z64" s="98">
        <f t="shared" ref="Z64" si="163">AA64*60*60*24/Y64</f>
        <v>21600000</v>
      </c>
      <c r="AA64" s="96">
        <v>5000</v>
      </c>
      <c r="AB64" s="96">
        <v>4</v>
      </c>
      <c r="AC64" s="98">
        <v>1.0999999999999999E+41</v>
      </c>
      <c r="AD64" s="102">
        <v>50</v>
      </c>
      <c r="AE64" s="103" t="s">
        <v>38</v>
      </c>
      <c r="AF64" s="104">
        <f t="shared" si="10"/>
        <v>2726101.4311796376</v>
      </c>
      <c r="AG64" s="104">
        <f t="shared" ref="AG64" si="164">(AF64/L64)^2</f>
        <v>1.4577652655335994E-3</v>
      </c>
      <c r="AM64" s="98">
        <f t="shared" ref="AM64" si="165">(1/AC64)*(J64)^8</f>
        <v>1.0515751986731528E-2</v>
      </c>
      <c r="AN64" s="97" t="s">
        <v>215</v>
      </c>
    </row>
    <row r="65" spans="1:40">
      <c r="J65" s="8" t="e">
        <f t="shared" si="8"/>
        <v>#DIV/0!</v>
      </c>
      <c r="AF65" s="45" t="e">
        <f t="shared" si="10"/>
        <v>#DIV/0!</v>
      </c>
      <c r="AG65" s="44"/>
      <c r="AM65" s="8" t="e">
        <f t="shared" si="12"/>
        <v>#DIV/0!</v>
      </c>
      <c r="AN65" s="5"/>
    </row>
    <row r="66" spans="1:40" s="115" customFormat="1">
      <c r="A66" s="131" t="s">
        <v>228</v>
      </c>
      <c r="B66" s="116" t="s">
        <v>74</v>
      </c>
      <c r="D66" s="115">
        <v>256</v>
      </c>
      <c r="E66" s="115">
        <v>149</v>
      </c>
      <c r="F66" s="115">
        <f>D66*3</f>
        <v>768</v>
      </c>
      <c r="G66" s="115">
        <f>E66*(18/7)</f>
        <v>383.14285714285717</v>
      </c>
      <c r="H66" s="117">
        <f>2*PI()*L66/D66/3</f>
        <v>584139.88402685209</v>
      </c>
      <c r="I66" s="117">
        <f>PI()*L66*(7/18)/E66</f>
        <v>585446.68466225895</v>
      </c>
      <c r="J66" s="118">
        <f t="shared" si="8"/>
        <v>50911.145460891188</v>
      </c>
      <c r="K66" s="117"/>
      <c r="L66" s="117">
        <v>71400000</v>
      </c>
      <c r="M66" s="117">
        <v>1.74E-4</v>
      </c>
      <c r="N66" s="119">
        <v>0.33300000000000002</v>
      </c>
      <c r="O66" s="119">
        <v>1</v>
      </c>
      <c r="P66" s="120">
        <v>2.1</v>
      </c>
      <c r="Q66" s="117">
        <f t="shared" ref="Q66:Q67" si="166">2*PI()*L66*(P66/360)</f>
        <v>2616946.6804402978</v>
      </c>
      <c r="R66" s="117">
        <f t="shared" ref="R66:R67" si="167">Q66/H66</f>
        <v>4.4800000000000004</v>
      </c>
      <c r="S66" s="117">
        <f t="shared" ref="S66:S67" si="168">Q66/I66</f>
        <v>4.4700000000000006</v>
      </c>
      <c r="T66" s="117">
        <v>100000</v>
      </c>
      <c r="U66" s="117">
        <v>100000</v>
      </c>
      <c r="V66" s="117">
        <v>1000</v>
      </c>
      <c r="W66" s="117">
        <v>1000000</v>
      </c>
      <c r="X66" s="117">
        <v>60000</v>
      </c>
      <c r="AB66" s="115">
        <v>4</v>
      </c>
      <c r="AD66" s="121"/>
      <c r="AE66" s="122"/>
      <c r="AF66" s="123">
        <f t="shared" si="10"/>
        <v>703876.3628687294</v>
      </c>
      <c r="AG66" s="123">
        <f t="shared" si="18"/>
        <v>9.7184351035573287E-5</v>
      </c>
      <c r="AL66" s="124"/>
      <c r="AM66" s="118" t="e">
        <f t="shared" si="12"/>
        <v>#DIV/0!</v>
      </c>
      <c r="AN66" s="116" t="s">
        <v>74</v>
      </c>
    </row>
    <row r="67" spans="1:40" s="124" customFormat="1">
      <c r="A67" s="124" t="s">
        <v>86</v>
      </c>
      <c r="B67" s="125" t="s">
        <v>75</v>
      </c>
      <c r="C67" s="124">
        <v>170</v>
      </c>
      <c r="F67" s="124">
        <f>C67*3+2</f>
        <v>512</v>
      </c>
      <c r="G67" s="124">
        <f>F67/2</f>
        <v>256</v>
      </c>
      <c r="H67" s="118">
        <f>2*PI()*L66/F67</f>
        <v>876209.82604027819</v>
      </c>
      <c r="I67" s="118">
        <f>PI()*L66/G67</f>
        <v>876209.82604027819</v>
      </c>
      <c r="J67" s="118">
        <f t="shared" si="8"/>
        <v>76366.718191336782</v>
      </c>
      <c r="K67" s="118"/>
      <c r="L67" s="118">
        <v>71400000</v>
      </c>
      <c r="M67" s="118">
        <v>1.74E-4</v>
      </c>
      <c r="N67" s="126">
        <v>0.33300000000000002</v>
      </c>
      <c r="O67" s="126">
        <v>1</v>
      </c>
      <c r="P67" s="127">
        <v>2.1</v>
      </c>
      <c r="Q67" s="118">
        <f t="shared" si="166"/>
        <v>2616946.6804402978</v>
      </c>
      <c r="R67" s="118">
        <f t="shared" si="167"/>
        <v>2.9866666666666668</v>
      </c>
      <c r="S67" s="118">
        <f t="shared" si="168"/>
        <v>2.9866666666666668</v>
      </c>
      <c r="T67" s="118">
        <v>100000</v>
      </c>
      <c r="U67" s="118">
        <v>100000</v>
      </c>
      <c r="V67" s="118">
        <v>1000</v>
      </c>
      <c r="W67" s="118">
        <v>1000000</v>
      </c>
      <c r="X67" s="118">
        <v>60000</v>
      </c>
      <c r="Y67" s="124">
        <v>10</v>
      </c>
      <c r="Z67" s="118">
        <f>AA67*60*60*24/Y67</f>
        <v>43200000</v>
      </c>
      <c r="AA67" s="124">
        <v>5000</v>
      </c>
      <c r="AB67" s="124">
        <v>4</v>
      </c>
      <c r="AC67" s="118">
        <v>5.78E+42</v>
      </c>
      <c r="AD67" s="128">
        <v>50</v>
      </c>
      <c r="AE67" s="129" t="s">
        <v>38</v>
      </c>
      <c r="AF67" s="123">
        <f t="shared" si="10"/>
        <v>703876.3628687294</v>
      </c>
      <c r="AG67" s="123">
        <f t="shared" si="18"/>
        <v>9.7184351035573287E-5</v>
      </c>
      <c r="AH67" s="124" t="s">
        <v>85</v>
      </c>
      <c r="AI67" s="124" t="s">
        <v>107</v>
      </c>
      <c r="AL67" s="118">
        <f>V67/(2*PI()/M67)*(AF67/L67)^2</f>
        <v>2.6913223553771637E-6</v>
      </c>
      <c r="AM67" s="118">
        <f t="shared" si="12"/>
        <v>2.0012676791357579E-4</v>
      </c>
      <c r="AN67" s="125" t="s">
        <v>75</v>
      </c>
    </row>
    <row r="68" spans="1:40" s="124" customFormat="1">
      <c r="A68" s="124" t="s">
        <v>121</v>
      </c>
      <c r="B68" s="125" t="s">
        <v>97</v>
      </c>
      <c r="C68" s="124">
        <v>170</v>
      </c>
      <c r="F68" s="124">
        <f>C68*3+2</f>
        <v>512</v>
      </c>
      <c r="G68" s="124">
        <f>F68/2</f>
        <v>256</v>
      </c>
      <c r="H68" s="118">
        <f>2*PI()*L67/F68</f>
        <v>876209.82604027819</v>
      </c>
      <c r="I68" s="118">
        <f>PI()*L67/G68</f>
        <v>876209.82604027819</v>
      </c>
      <c r="J68" s="118">
        <f t="shared" si="8"/>
        <v>76366.718191336782</v>
      </c>
      <c r="K68" s="118"/>
      <c r="L68" s="118">
        <v>71400000</v>
      </c>
      <c r="M68" s="118">
        <v>1.74E-4</v>
      </c>
      <c r="N68" s="126">
        <v>0.33300000000000002</v>
      </c>
      <c r="O68" s="126">
        <v>1</v>
      </c>
      <c r="P68" s="127">
        <v>2.1</v>
      </c>
      <c r="Q68" s="118">
        <f t="shared" ref="Q68:Q71" si="169">2*PI()*L68*(P68/360)</f>
        <v>2616946.6804402978</v>
      </c>
      <c r="R68" s="118">
        <f t="shared" ref="R68:R71" si="170">Q68/H68</f>
        <v>2.9866666666666668</v>
      </c>
      <c r="S68" s="118">
        <f t="shared" ref="S68:S71" si="171">Q68/I68</f>
        <v>2.9866666666666668</v>
      </c>
      <c r="T68" s="118">
        <v>100000</v>
      </c>
      <c r="U68" s="118">
        <v>100000</v>
      </c>
      <c r="V68" s="118">
        <v>1000</v>
      </c>
      <c r="W68" s="118">
        <v>1000000</v>
      </c>
      <c r="X68" s="118">
        <v>60000</v>
      </c>
      <c r="Y68" s="124">
        <v>10</v>
      </c>
      <c r="Z68" s="118">
        <f>AA68*60*60*24/Y68</f>
        <v>43200000</v>
      </c>
      <c r="AA68" s="124">
        <v>5000</v>
      </c>
      <c r="AB68" s="124">
        <v>4</v>
      </c>
      <c r="AC68" s="118">
        <v>5.7799999999999997E+45</v>
      </c>
      <c r="AD68" s="128">
        <v>50</v>
      </c>
      <c r="AE68" s="129" t="s">
        <v>38</v>
      </c>
      <c r="AF68" s="123">
        <f t="shared" si="10"/>
        <v>703876.3628687294</v>
      </c>
      <c r="AG68" s="123">
        <f t="shared" si="18"/>
        <v>9.7184351035573287E-5</v>
      </c>
      <c r="AH68" s="124" t="s">
        <v>118</v>
      </c>
      <c r="AI68" s="124" t="s">
        <v>107</v>
      </c>
      <c r="AL68" s="118">
        <f t="shared" ref="AL68:AL80" si="172">V68/(2*PI()/M68)*(AF68/L68)^2</f>
        <v>2.6913223553771637E-6</v>
      </c>
      <c r="AM68" s="118">
        <f t="shared" si="12"/>
        <v>2.0012676791357581E-7</v>
      </c>
      <c r="AN68" s="125" t="s">
        <v>97</v>
      </c>
    </row>
    <row r="69" spans="1:40" s="124" customFormat="1">
      <c r="A69" s="124" t="s">
        <v>153</v>
      </c>
      <c r="B69" s="125" t="s">
        <v>122</v>
      </c>
      <c r="C69" s="124">
        <v>170</v>
      </c>
      <c r="F69" s="124">
        <f>C69*3+2</f>
        <v>512</v>
      </c>
      <c r="G69" s="124">
        <f>F69/2</f>
        <v>256</v>
      </c>
      <c r="H69" s="118">
        <f>2*PI()*L67/F69</f>
        <v>876209.82604027819</v>
      </c>
      <c r="I69" s="118">
        <f>PI()*L67/G69</f>
        <v>876209.82604027819</v>
      </c>
      <c r="J69" s="118">
        <f t="shared" ref="J69:J71" si="173">COS(85*PI()/180)*L69*2*PI()/F69</f>
        <v>76366.718191336782</v>
      </c>
      <c r="K69" s="118"/>
      <c r="L69" s="118">
        <v>71400000</v>
      </c>
      <c r="M69" s="118">
        <v>1.74E-4</v>
      </c>
      <c r="N69" s="126">
        <v>0.33300000000000002</v>
      </c>
      <c r="O69" s="126">
        <v>1</v>
      </c>
      <c r="P69" s="127">
        <v>2.1</v>
      </c>
      <c r="Q69" s="118">
        <f t="shared" si="169"/>
        <v>2616946.6804402978</v>
      </c>
      <c r="R69" s="118">
        <f t="shared" si="170"/>
        <v>2.9866666666666668</v>
      </c>
      <c r="S69" s="118">
        <f t="shared" si="171"/>
        <v>2.9866666666666668</v>
      </c>
      <c r="T69" s="118">
        <v>100000</v>
      </c>
      <c r="U69" s="118">
        <v>100000</v>
      </c>
      <c r="V69" s="118">
        <v>1000</v>
      </c>
      <c r="W69" s="118">
        <v>1000000</v>
      </c>
      <c r="X69" s="118">
        <v>60000</v>
      </c>
      <c r="Y69" s="124">
        <v>10</v>
      </c>
      <c r="Z69" s="118">
        <f>AA69*60*60*24/Y69</f>
        <v>43200000</v>
      </c>
      <c r="AA69" s="124">
        <v>5000</v>
      </c>
      <c r="AB69" s="124">
        <v>4</v>
      </c>
      <c r="AC69" s="118">
        <v>5.7799999999999997E+46</v>
      </c>
      <c r="AD69" s="128">
        <v>50</v>
      </c>
      <c r="AE69" s="129" t="s">
        <v>38</v>
      </c>
      <c r="AF69" s="123">
        <f t="shared" si="10"/>
        <v>703876.3628687294</v>
      </c>
      <c r="AG69" s="130">
        <f t="shared" si="18"/>
        <v>9.7184351035573287E-5</v>
      </c>
      <c r="AL69" s="118">
        <f t="shared" si="172"/>
        <v>2.6913223553771637E-6</v>
      </c>
      <c r="AM69" s="118">
        <f t="shared" ref="AM69:AM71" si="174">(1/AC69)*(J69)^8</f>
        <v>2.0012676791357582E-8</v>
      </c>
      <c r="AN69" s="125" t="s">
        <v>122</v>
      </c>
    </row>
    <row r="70" spans="1:40" s="96" customFormat="1">
      <c r="A70" s="96" t="s">
        <v>233</v>
      </c>
      <c r="B70" s="97" t="s">
        <v>217</v>
      </c>
      <c r="C70" s="96">
        <v>170</v>
      </c>
      <c r="F70" s="96">
        <f>C70*3+2</f>
        <v>512</v>
      </c>
      <c r="G70" s="96">
        <f>F70/2</f>
        <v>256</v>
      </c>
      <c r="H70" s="98">
        <f>2*PI()*L67/F70</f>
        <v>876209.82604027819</v>
      </c>
      <c r="I70" s="98">
        <f>PI()*L67/G70</f>
        <v>876209.82604027819</v>
      </c>
      <c r="J70" s="98">
        <f t="shared" si="173"/>
        <v>76366.718191336782</v>
      </c>
      <c r="K70" s="98"/>
      <c r="L70" s="98">
        <v>71400000</v>
      </c>
      <c r="M70" s="98">
        <v>1.74E-4</v>
      </c>
      <c r="N70" s="99">
        <v>0.33300000000000002</v>
      </c>
      <c r="O70" s="99">
        <v>1</v>
      </c>
      <c r="P70" s="100">
        <v>2.1</v>
      </c>
      <c r="Q70" s="98">
        <f t="shared" si="169"/>
        <v>2616946.6804402978</v>
      </c>
      <c r="R70" s="98">
        <f t="shared" si="170"/>
        <v>2.9866666666666668</v>
      </c>
      <c r="S70" s="98">
        <f t="shared" si="171"/>
        <v>2.9866666666666668</v>
      </c>
      <c r="T70" s="98">
        <v>100000</v>
      </c>
      <c r="U70" s="98">
        <v>100000</v>
      </c>
      <c r="V70" s="98">
        <v>1000</v>
      </c>
      <c r="W70" s="98">
        <v>1000000</v>
      </c>
      <c r="X70" s="98">
        <v>60000</v>
      </c>
      <c r="Y70" s="96">
        <v>20</v>
      </c>
      <c r="Z70" s="98">
        <f>AA70*60*60*24/Y70</f>
        <v>21600000</v>
      </c>
      <c r="AA70" s="96">
        <v>5000</v>
      </c>
      <c r="AB70" s="96">
        <v>4</v>
      </c>
      <c r="AC70" s="98">
        <v>1.1E+43</v>
      </c>
      <c r="AD70" s="102">
        <v>50</v>
      </c>
      <c r="AE70" s="103" t="s">
        <v>38</v>
      </c>
      <c r="AF70" s="104">
        <f t="shared" ref="AF70:AF71" si="175">SQRT(X70)/(2*M70)</f>
        <v>703876.3628687294</v>
      </c>
      <c r="AG70" s="114">
        <f t="shared" si="18"/>
        <v>9.7184351035573287E-5</v>
      </c>
      <c r="AL70" s="98">
        <f t="shared" ref="AL70" si="176">V70/(2*PI()/M70)*(AF70/L70)^2</f>
        <v>2.6913223553771637E-6</v>
      </c>
      <c r="AM70" s="98">
        <f t="shared" si="174"/>
        <v>1.0515751986731529E-4</v>
      </c>
      <c r="AN70" s="97" t="s">
        <v>217</v>
      </c>
    </row>
    <row r="71" spans="1:40" s="132" customFormat="1">
      <c r="A71" s="132" t="s">
        <v>229</v>
      </c>
      <c r="B71" s="133" t="s">
        <v>74</v>
      </c>
      <c r="D71" s="132">
        <v>256</v>
      </c>
      <c r="E71" s="132">
        <v>149</v>
      </c>
      <c r="F71" s="132">
        <f>D71*3</f>
        <v>768</v>
      </c>
      <c r="G71" s="132">
        <f>E71*(18/7)</f>
        <v>383.14285714285717</v>
      </c>
      <c r="H71" s="134">
        <f>2*PI()*L71/D71/3</f>
        <v>584139.88402685209</v>
      </c>
      <c r="I71" s="134">
        <f>PI()*L71*(7/18)/E71</f>
        <v>585446.68466225895</v>
      </c>
      <c r="J71" s="135">
        <f t="shared" si="173"/>
        <v>50911.145460891188</v>
      </c>
      <c r="K71" s="134"/>
      <c r="L71" s="134">
        <v>71400000</v>
      </c>
      <c r="M71" s="134">
        <v>1.74E-4</v>
      </c>
      <c r="N71" s="136">
        <v>0.33300000000000002</v>
      </c>
      <c r="O71" s="136">
        <v>1</v>
      </c>
      <c r="P71" s="137">
        <v>2.1</v>
      </c>
      <c r="Q71" s="134">
        <f t="shared" si="169"/>
        <v>2616946.6804402978</v>
      </c>
      <c r="R71" s="134">
        <f t="shared" si="170"/>
        <v>4.4800000000000004</v>
      </c>
      <c r="S71" s="134">
        <f t="shared" si="171"/>
        <v>4.4700000000000006</v>
      </c>
      <c r="T71" s="134">
        <v>100000</v>
      </c>
      <c r="U71" s="134">
        <v>100000</v>
      </c>
      <c r="V71" s="148">
        <v>100000000</v>
      </c>
      <c r="W71" s="134">
        <v>1000000</v>
      </c>
      <c r="X71" s="134">
        <v>60000</v>
      </c>
      <c r="AB71" s="132">
        <v>4</v>
      </c>
      <c r="AD71" s="138"/>
      <c r="AE71" s="139"/>
      <c r="AF71" s="140">
        <f t="shared" si="175"/>
        <v>703876.3628687294</v>
      </c>
      <c r="AG71" s="140">
        <f t="shared" ref="AG71" si="177">(AF71/L71)^2</f>
        <v>9.7184351035573287E-5</v>
      </c>
      <c r="AL71" s="141"/>
      <c r="AM71" s="135" t="e">
        <f t="shared" si="174"/>
        <v>#DIV/0!</v>
      </c>
      <c r="AN71" s="133" t="s">
        <v>74</v>
      </c>
    </row>
    <row r="72" spans="1:40" s="141" customFormat="1">
      <c r="A72" s="141" t="s">
        <v>231</v>
      </c>
      <c r="B72" s="142" t="s">
        <v>230</v>
      </c>
      <c r="C72" s="141">
        <v>170</v>
      </c>
      <c r="F72" s="141">
        <f>C72*3+2</f>
        <v>512</v>
      </c>
      <c r="G72" s="141">
        <f>F72/2</f>
        <v>256</v>
      </c>
      <c r="H72" s="135">
        <f>2*PI()*L68/F72</f>
        <v>876209.82604027819</v>
      </c>
      <c r="I72" s="135">
        <f>PI()*L68/G72</f>
        <v>876209.82604027819</v>
      </c>
      <c r="J72" s="135">
        <f t="shared" si="8"/>
        <v>76366.718191336782</v>
      </c>
      <c r="K72" s="135"/>
      <c r="L72" s="135">
        <v>71400000</v>
      </c>
      <c r="M72" s="135">
        <v>1.74E-4</v>
      </c>
      <c r="N72" s="143">
        <v>0.33300000000000002</v>
      </c>
      <c r="O72" s="143">
        <v>1</v>
      </c>
      <c r="P72" s="144">
        <v>2.1</v>
      </c>
      <c r="Q72" s="135">
        <f t="shared" ref="Q72:Q78" si="178">2*PI()*L72*(P72/360)</f>
        <v>2616946.6804402978</v>
      </c>
      <c r="R72" s="135">
        <f t="shared" ref="R72:R78" si="179">Q72/H72</f>
        <v>2.9866666666666668</v>
      </c>
      <c r="S72" s="135">
        <f t="shared" ref="S72:S78" si="180">Q72/I72</f>
        <v>2.9866666666666668</v>
      </c>
      <c r="T72" s="135">
        <v>100000</v>
      </c>
      <c r="U72" s="135">
        <v>100000</v>
      </c>
      <c r="V72" s="149">
        <v>100000000</v>
      </c>
      <c r="W72" s="135">
        <v>1000000</v>
      </c>
      <c r="X72" s="135">
        <v>60000</v>
      </c>
      <c r="Y72" s="141">
        <v>20</v>
      </c>
      <c r="Z72" s="150">
        <f>AA72*60*60*24/Y72</f>
        <v>12960000</v>
      </c>
      <c r="AA72" s="141">
        <v>3000</v>
      </c>
      <c r="AB72" s="141">
        <v>4</v>
      </c>
      <c r="AC72" s="135">
        <v>1.1E+43</v>
      </c>
      <c r="AD72" s="145">
        <v>50</v>
      </c>
      <c r="AE72" s="146" t="s">
        <v>38</v>
      </c>
      <c r="AF72" s="140">
        <f t="shared" si="10"/>
        <v>703876.3628687294</v>
      </c>
      <c r="AG72" s="147">
        <f t="shared" ref="AG72:AG78" si="181">(AF72/L72)^2</f>
        <v>9.7184351035573287E-5</v>
      </c>
      <c r="AL72" s="135">
        <f t="shared" si="172"/>
        <v>0.26913223553771637</v>
      </c>
      <c r="AM72" s="135">
        <f t="shared" si="12"/>
        <v>1.0515751986731529E-4</v>
      </c>
      <c r="AN72" s="142" t="s">
        <v>230</v>
      </c>
    </row>
    <row r="73" spans="1:40" s="15" customFormat="1">
      <c r="B73" s="14" t="s">
        <v>123</v>
      </c>
      <c r="D73" s="15">
        <v>256</v>
      </c>
      <c r="E73" s="15">
        <v>149</v>
      </c>
      <c r="F73" s="15">
        <f>D73*3</f>
        <v>768</v>
      </c>
      <c r="G73" s="15">
        <f>E73*(18/7)</f>
        <v>383.14285714285717</v>
      </c>
      <c r="H73" s="16">
        <f>2*PI()*L73/D73/3</f>
        <v>584139.88402685209</v>
      </c>
      <c r="I73" s="16">
        <f>PI()*L73*(7/18)/E73</f>
        <v>585446.68466225895</v>
      </c>
      <c r="J73" s="8">
        <f t="shared" si="8"/>
        <v>50911.145460891188</v>
      </c>
      <c r="K73" s="16"/>
      <c r="L73" s="16">
        <v>71400000</v>
      </c>
      <c r="M73" s="16">
        <v>1.74E-4</v>
      </c>
      <c r="N73" s="17">
        <v>0.33300000000000002</v>
      </c>
      <c r="O73" s="17">
        <v>1</v>
      </c>
      <c r="P73" s="18">
        <v>2.1</v>
      </c>
      <c r="Q73" s="16">
        <f t="shared" si="178"/>
        <v>2616946.6804402978</v>
      </c>
      <c r="R73" s="16">
        <f t="shared" si="179"/>
        <v>4.4800000000000004</v>
      </c>
      <c r="S73" s="16">
        <f t="shared" si="180"/>
        <v>4.4700000000000006</v>
      </c>
      <c r="T73" s="16">
        <v>100000</v>
      </c>
      <c r="U73" s="16">
        <v>100000</v>
      </c>
      <c r="V73" s="65">
        <v>10000000</v>
      </c>
      <c r="W73" s="16">
        <v>1000000</v>
      </c>
      <c r="X73" s="16">
        <v>60000</v>
      </c>
      <c r="AB73" s="15">
        <v>4</v>
      </c>
      <c r="AD73" s="25"/>
      <c r="AE73" s="29"/>
      <c r="AF73" s="45">
        <f t="shared" si="10"/>
        <v>703876.3628687294</v>
      </c>
      <c r="AG73" s="45">
        <f t="shared" si="181"/>
        <v>9.7184351035573287E-5</v>
      </c>
      <c r="AL73" s="8">
        <f t="shared" si="172"/>
        <v>2.6913223553771636E-2</v>
      </c>
      <c r="AM73" s="8" t="e">
        <f t="shared" si="12"/>
        <v>#DIV/0!</v>
      </c>
      <c r="AN73" s="14" t="s">
        <v>123</v>
      </c>
    </row>
    <row r="74" spans="1:40" s="89" customFormat="1">
      <c r="A74" s="89" t="s">
        <v>154</v>
      </c>
      <c r="B74" s="5" t="s">
        <v>124</v>
      </c>
      <c r="C74" s="89">
        <v>170</v>
      </c>
      <c r="F74" s="89">
        <f t="shared" ref="F74:F80" si="182">C74*3+2</f>
        <v>512</v>
      </c>
      <c r="G74" s="89">
        <f t="shared" ref="G74:G80" si="183">F74/2</f>
        <v>256</v>
      </c>
      <c r="H74" s="8">
        <f>2*PI()*L72/F74</f>
        <v>876209.82604027819</v>
      </c>
      <c r="I74" s="8">
        <f>PI()*L72/G74</f>
        <v>876209.82604027819</v>
      </c>
      <c r="J74" s="8">
        <f t="shared" ref="J74:J78" si="184">COS(85*PI()/180)*L74*2*PI()/F74</f>
        <v>76366.718191336782</v>
      </c>
      <c r="K74" s="8"/>
      <c r="L74" s="8">
        <v>71400000</v>
      </c>
      <c r="M74" s="8">
        <v>1.74E-4</v>
      </c>
      <c r="N74" s="9">
        <v>0.33300000000000002</v>
      </c>
      <c r="O74" s="9">
        <v>1</v>
      </c>
      <c r="P74" s="10">
        <v>2.1</v>
      </c>
      <c r="Q74" s="8">
        <f t="shared" si="178"/>
        <v>2616946.6804402978</v>
      </c>
      <c r="R74" s="8">
        <f t="shared" si="179"/>
        <v>2.9866666666666668</v>
      </c>
      <c r="S74" s="8">
        <f t="shared" si="180"/>
        <v>2.9866666666666668</v>
      </c>
      <c r="T74" s="8">
        <v>100000</v>
      </c>
      <c r="U74" s="8">
        <v>100000</v>
      </c>
      <c r="V74" s="35">
        <v>10000000</v>
      </c>
      <c r="W74" s="8">
        <v>1000000</v>
      </c>
      <c r="X74" s="8">
        <v>60000</v>
      </c>
      <c r="Y74" s="89">
        <v>10</v>
      </c>
      <c r="Z74" s="8">
        <f t="shared" ref="Z74:Z79" si="185">AA74*60*60*24/Y74</f>
        <v>43200000</v>
      </c>
      <c r="AA74" s="89">
        <v>5000</v>
      </c>
      <c r="AB74" s="89">
        <v>4</v>
      </c>
      <c r="AC74" s="35">
        <v>5.7799999999999997E+46</v>
      </c>
      <c r="AD74" s="24">
        <v>50</v>
      </c>
      <c r="AE74" s="26" t="s">
        <v>38</v>
      </c>
      <c r="AF74" s="45">
        <f t="shared" si="10"/>
        <v>703876.3628687294</v>
      </c>
      <c r="AG74" s="45">
        <f t="shared" si="181"/>
        <v>9.7184351035573287E-5</v>
      </c>
      <c r="AL74" s="8">
        <f t="shared" si="172"/>
        <v>2.6913223553771636E-2</v>
      </c>
      <c r="AM74" s="8">
        <f t="shared" ref="AM74:AM78" si="186">(1/AC74)*(J74)^8</f>
        <v>2.0012676791357582E-8</v>
      </c>
      <c r="AN74" s="5" t="s">
        <v>124</v>
      </c>
    </row>
    <row r="75" spans="1:40" s="107" customFormat="1">
      <c r="A75" s="107" t="s">
        <v>234</v>
      </c>
      <c r="B75" s="108" t="s">
        <v>218</v>
      </c>
      <c r="C75" s="107">
        <v>170</v>
      </c>
      <c r="F75" s="107">
        <f t="shared" ref="F75" si="187">C75*3+2</f>
        <v>512</v>
      </c>
      <c r="G75" s="107">
        <f t="shared" ref="G75" si="188">F75/2</f>
        <v>256</v>
      </c>
      <c r="H75" s="109">
        <f>2*PI()*L71/F75</f>
        <v>876209.82604027819</v>
      </c>
      <c r="I75" s="109">
        <f>PI()*L71/G75</f>
        <v>876209.82604027819</v>
      </c>
      <c r="J75" s="109">
        <f t="shared" ref="J75" si="189">COS(85*PI()/180)*L75*2*PI()/F75</f>
        <v>76366.718191336782</v>
      </c>
      <c r="K75" s="109"/>
      <c r="L75" s="109">
        <v>71400000</v>
      </c>
      <c r="M75" s="109">
        <v>1.74E-4</v>
      </c>
      <c r="N75" s="111">
        <v>0.33300000000000002</v>
      </c>
      <c r="O75" s="111">
        <v>1</v>
      </c>
      <c r="P75" s="112">
        <v>2.1</v>
      </c>
      <c r="Q75" s="109">
        <f t="shared" ref="Q75" si="190">2*PI()*L75*(P75/360)</f>
        <v>2616946.6804402978</v>
      </c>
      <c r="R75" s="109">
        <f t="shared" ref="R75" si="191">Q75/H75</f>
        <v>2.9866666666666668</v>
      </c>
      <c r="S75" s="109">
        <f t="shared" ref="S75" si="192">Q75/I75</f>
        <v>2.9866666666666668</v>
      </c>
      <c r="T75" s="109">
        <v>100000</v>
      </c>
      <c r="U75" s="109">
        <v>100000</v>
      </c>
      <c r="V75" s="109">
        <v>10000000</v>
      </c>
      <c r="W75" s="109">
        <v>1000000</v>
      </c>
      <c r="X75" s="109">
        <v>60000</v>
      </c>
      <c r="Y75" s="107">
        <v>20</v>
      </c>
      <c r="Z75" s="109">
        <f t="shared" ref="Z75" si="193">AA75*60*60*24/Y75</f>
        <v>21600000</v>
      </c>
      <c r="AA75" s="107">
        <v>5000</v>
      </c>
      <c r="AB75" s="107">
        <v>4</v>
      </c>
      <c r="AC75" s="109">
        <v>1.1E+43</v>
      </c>
      <c r="AD75" s="113">
        <v>50</v>
      </c>
      <c r="AE75" s="110" t="s">
        <v>38</v>
      </c>
      <c r="AF75" s="104">
        <f t="shared" ref="AF75" si="194">SQRT(X75)/(2*M75)</f>
        <v>703876.3628687294</v>
      </c>
      <c r="AG75" s="114">
        <f t="shared" ref="AG75" si="195">(AF75/L75)^2</f>
        <v>9.7184351035573287E-5</v>
      </c>
      <c r="AL75" s="98">
        <f t="shared" ref="AL75" si="196">V75/(2*PI()/M75)*(AF75/L75)^2</f>
        <v>2.6913223553771636E-2</v>
      </c>
      <c r="AM75" s="109">
        <f t="shared" ref="AM75" si="197">(1/AC75)*(J75)^8</f>
        <v>1.0515751986731529E-4</v>
      </c>
      <c r="AN75" s="108" t="s">
        <v>218</v>
      </c>
    </row>
    <row r="76" spans="1:40" s="54" customFormat="1">
      <c r="A76" s="54" t="s">
        <v>206</v>
      </c>
      <c r="B76" s="55" t="s">
        <v>235</v>
      </c>
      <c r="C76" s="54">
        <v>170</v>
      </c>
      <c r="F76" s="54">
        <f t="shared" si="182"/>
        <v>512</v>
      </c>
      <c r="G76" s="54">
        <f t="shared" si="183"/>
        <v>256</v>
      </c>
      <c r="H76" s="56">
        <f>2*PI()*L72/F76</f>
        <v>876209.82604027819</v>
      </c>
      <c r="I76" s="56">
        <f>PI()*L72/G76</f>
        <v>876209.82604027819</v>
      </c>
      <c r="J76" s="56">
        <f t="shared" si="184"/>
        <v>76366.718191336782</v>
      </c>
      <c r="K76" s="56"/>
      <c r="L76" s="56">
        <v>71400000</v>
      </c>
      <c r="M76" s="56">
        <v>1.74E-4</v>
      </c>
      <c r="N76" s="57">
        <v>0.33300000000000002</v>
      </c>
      <c r="O76" s="57">
        <v>1</v>
      </c>
      <c r="P76" s="58">
        <v>2.1</v>
      </c>
      <c r="Q76" s="56">
        <f t="shared" si="178"/>
        <v>2616946.6804402978</v>
      </c>
      <c r="R76" s="56">
        <f t="shared" si="179"/>
        <v>2.9866666666666668</v>
      </c>
      <c r="S76" s="56">
        <f t="shared" si="180"/>
        <v>2.9866666666666668</v>
      </c>
      <c r="T76" s="56">
        <v>100000</v>
      </c>
      <c r="U76" s="56">
        <v>100000</v>
      </c>
      <c r="V76" s="56">
        <v>1000000</v>
      </c>
      <c r="W76" s="56">
        <v>1000000</v>
      </c>
      <c r="X76" s="56">
        <v>60000</v>
      </c>
      <c r="Y76" s="54">
        <v>20</v>
      </c>
      <c r="Z76" s="56">
        <f t="shared" si="185"/>
        <v>21600000</v>
      </c>
      <c r="AA76" s="54">
        <v>5000</v>
      </c>
      <c r="AB76" s="54">
        <v>4</v>
      </c>
      <c r="AC76" s="56">
        <v>1.1E+43</v>
      </c>
      <c r="AD76" s="59">
        <v>50</v>
      </c>
      <c r="AE76" s="60" t="s">
        <v>38</v>
      </c>
      <c r="AF76" s="53">
        <f t="shared" si="10"/>
        <v>703876.3628687294</v>
      </c>
      <c r="AG76" s="61">
        <f t="shared" si="181"/>
        <v>9.7184351035573287E-5</v>
      </c>
      <c r="AL76" s="48">
        <f t="shared" si="172"/>
        <v>2.6913223553771638E-3</v>
      </c>
      <c r="AM76" s="56">
        <f t="shared" si="186"/>
        <v>1.0515751986731529E-4</v>
      </c>
      <c r="AN76" s="55" t="s">
        <v>218</v>
      </c>
    </row>
    <row r="77" spans="1:40" s="107" customFormat="1">
      <c r="A77" s="107" t="s">
        <v>232</v>
      </c>
      <c r="B77" s="108" t="s">
        <v>222</v>
      </c>
      <c r="C77" s="107">
        <v>170</v>
      </c>
      <c r="F77" s="107">
        <f t="shared" si="182"/>
        <v>512</v>
      </c>
      <c r="G77" s="107">
        <f t="shared" si="183"/>
        <v>256</v>
      </c>
      <c r="H77" s="109">
        <f>2*PI()*L72/F77</f>
        <v>876209.82604027819</v>
      </c>
      <c r="I77" s="109">
        <f>PI()*L72/G77</f>
        <v>876209.82604027819</v>
      </c>
      <c r="J77" s="109">
        <f t="shared" si="184"/>
        <v>76366.718191336782</v>
      </c>
      <c r="K77" s="109"/>
      <c r="L77" s="109">
        <v>71400000</v>
      </c>
      <c r="M77" s="109">
        <v>1.74E-4</v>
      </c>
      <c r="N77" s="111">
        <v>0.33300000000000002</v>
      </c>
      <c r="O77" s="111">
        <v>1</v>
      </c>
      <c r="P77" s="112">
        <v>2.1</v>
      </c>
      <c r="Q77" s="109">
        <f t="shared" si="178"/>
        <v>2616946.6804402978</v>
      </c>
      <c r="R77" s="109">
        <f t="shared" si="179"/>
        <v>2.9866666666666668</v>
      </c>
      <c r="S77" s="109">
        <f t="shared" si="180"/>
        <v>2.9866666666666668</v>
      </c>
      <c r="T77" s="109">
        <v>100000</v>
      </c>
      <c r="U77" s="109">
        <v>100000</v>
      </c>
      <c r="V77" s="109">
        <v>100000</v>
      </c>
      <c r="W77" s="109">
        <v>1000000</v>
      </c>
      <c r="X77" s="109">
        <v>60000</v>
      </c>
      <c r="Y77" s="107">
        <v>20</v>
      </c>
      <c r="Z77" s="109">
        <f t="shared" si="185"/>
        <v>21600000</v>
      </c>
      <c r="AA77" s="107">
        <v>5000</v>
      </c>
      <c r="AB77" s="107">
        <v>4</v>
      </c>
      <c r="AC77" s="109">
        <v>1.1E+43</v>
      </c>
      <c r="AD77" s="113">
        <v>50</v>
      </c>
      <c r="AE77" s="110" t="s">
        <v>38</v>
      </c>
      <c r="AF77" s="104">
        <f t="shared" ref="AF77:AF78" si="198">SQRT(X77)/(2*M77)</f>
        <v>703876.3628687294</v>
      </c>
      <c r="AG77" s="114">
        <f t="shared" si="181"/>
        <v>9.7184351035573287E-5</v>
      </c>
      <c r="AL77" s="98">
        <f t="shared" ref="AL77:AL78" si="199">V77/(2*PI()/M77)*(AF77/L77)^2</f>
        <v>2.6913223553771639E-4</v>
      </c>
      <c r="AM77" s="109">
        <f t="shared" si="186"/>
        <v>1.0515751986731529E-4</v>
      </c>
      <c r="AN77" s="108" t="s">
        <v>222</v>
      </c>
    </row>
    <row r="78" spans="1:40" s="93" customFormat="1">
      <c r="A78" s="93" t="s">
        <v>223</v>
      </c>
      <c r="B78" s="6" t="s">
        <v>225</v>
      </c>
      <c r="C78" s="93">
        <v>170</v>
      </c>
      <c r="F78" s="93">
        <f t="shared" si="182"/>
        <v>512</v>
      </c>
      <c r="G78" s="93">
        <f t="shared" si="183"/>
        <v>256</v>
      </c>
      <c r="H78" s="11">
        <f>2*PI()*L72/F78</f>
        <v>876209.82604027819</v>
      </c>
      <c r="I78" s="11">
        <f>PI()*L72/G78</f>
        <v>876209.82604027819</v>
      </c>
      <c r="J78" s="11">
        <f t="shared" si="184"/>
        <v>76366.718191336782</v>
      </c>
      <c r="K78" s="11"/>
      <c r="L78" s="11">
        <v>71400000</v>
      </c>
      <c r="M78" s="11">
        <v>1.74E-4</v>
      </c>
      <c r="N78" s="92">
        <v>0.33300000000000002</v>
      </c>
      <c r="O78" s="92">
        <v>1</v>
      </c>
      <c r="P78" s="13">
        <v>2.1</v>
      </c>
      <c r="Q78" s="11">
        <f t="shared" si="178"/>
        <v>2616946.6804402978</v>
      </c>
      <c r="R78" s="11">
        <f t="shared" si="179"/>
        <v>2.9866666666666668</v>
      </c>
      <c r="S78" s="11">
        <f t="shared" si="180"/>
        <v>2.9866666666666668</v>
      </c>
      <c r="T78" s="11">
        <v>100000</v>
      </c>
      <c r="U78" s="11">
        <v>100000</v>
      </c>
      <c r="V78" s="41">
        <v>10000000</v>
      </c>
      <c r="W78" s="11">
        <v>1000000</v>
      </c>
      <c r="X78" s="11">
        <v>900000</v>
      </c>
      <c r="Y78" s="93">
        <v>20</v>
      </c>
      <c r="Z78" s="11">
        <f t="shared" si="185"/>
        <v>21600000</v>
      </c>
      <c r="AA78" s="93">
        <v>5000</v>
      </c>
      <c r="AB78" s="93">
        <v>4</v>
      </c>
      <c r="AC78" s="41">
        <v>1.1E+43</v>
      </c>
      <c r="AD78" s="23">
        <v>50</v>
      </c>
      <c r="AE78" s="28" t="s">
        <v>38</v>
      </c>
      <c r="AF78" s="45">
        <f t="shared" si="198"/>
        <v>2726101.4311796376</v>
      </c>
      <c r="AG78" s="44">
        <f t="shared" si="181"/>
        <v>1.4577652655335994E-3</v>
      </c>
      <c r="AL78" s="106">
        <f t="shared" si="199"/>
        <v>0.40369835330657455</v>
      </c>
      <c r="AM78" s="11">
        <f t="shared" si="186"/>
        <v>1.0515751986731529E-4</v>
      </c>
      <c r="AN78" s="6" t="s">
        <v>225</v>
      </c>
    </row>
    <row r="79" spans="1:40" s="91" customFormat="1">
      <c r="A79" s="91" t="s">
        <v>223</v>
      </c>
      <c r="B79" s="6" t="s">
        <v>226</v>
      </c>
      <c r="C79" s="91">
        <v>170</v>
      </c>
      <c r="F79" s="91">
        <f t="shared" si="182"/>
        <v>512</v>
      </c>
      <c r="G79" s="91">
        <f t="shared" si="183"/>
        <v>256</v>
      </c>
      <c r="H79" s="11">
        <f>2*PI()*L73/F79</f>
        <v>876209.82604027819</v>
      </c>
      <c r="I79" s="11">
        <f>PI()*L73/G79</f>
        <v>876209.82604027819</v>
      </c>
      <c r="J79" s="11">
        <f t="shared" si="8"/>
        <v>76366.718191336782</v>
      </c>
      <c r="K79" s="11"/>
      <c r="L79" s="11">
        <v>71400000</v>
      </c>
      <c r="M79" s="11">
        <v>1.74E-4</v>
      </c>
      <c r="N79" s="90">
        <v>0.33300000000000002</v>
      </c>
      <c r="O79" s="90">
        <v>0.5</v>
      </c>
      <c r="P79" s="13">
        <v>2.1</v>
      </c>
      <c r="Q79" s="11">
        <f t="shared" ref="Q79" si="200">2*PI()*L79*(P79/360)</f>
        <v>2616946.6804402978</v>
      </c>
      <c r="R79" s="11">
        <f t="shared" ref="R79" si="201">Q79/H79</f>
        <v>2.9866666666666668</v>
      </c>
      <c r="S79" s="11">
        <f t="shared" ref="S79" si="202">Q79/I79</f>
        <v>2.9866666666666668</v>
      </c>
      <c r="T79" s="11">
        <v>100000</v>
      </c>
      <c r="U79" s="11">
        <v>100000</v>
      </c>
      <c r="V79" s="41">
        <v>10000000</v>
      </c>
      <c r="W79" s="11">
        <v>1000000</v>
      </c>
      <c r="X79" s="11">
        <v>900000</v>
      </c>
      <c r="Y79" s="91">
        <v>20</v>
      </c>
      <c r="Z79" s="11">
        <f t="shared" si="185"/>
        <v>21600000</v>
      </c>
      <c r="AA79" s="91">
        <v>5000</v>
      </c>
      <c r="AB79" s="91">
        <v>4</v>
      </c>
      <c r="AC79" s="41">
        <v>1.1E+43</v>
      </c>
      <c r="AD79" s="23">
        <v>50</v>
      </c>
      <c r="AE79" s="28" t="s">
        <v>38</v>
      </c>
      <c r="AF79" s="45">
        <f t="shared" si="10"/>
        <v>2726101.4311796376</v>
      </c>
      <c r="AG79" s="44">
        <f t="shared" ref="AG79" si="203">(AF79/L79)^2</f>
        <v>1.4577652655335994E-3</v>
      </c>
      <c r="AL79" s="106">
        <f t="shared" si="172"/>
        <v>0.40369835330657455</v>
      </c>
      <c r="AM79" s="11">
        <f t="shared" si="12"/>
        <v>1.0515751986731529E-4</v>
      </c>
      <c r="AN79" s="6" t="s">
        <v>226</v>
      </c>
    </row>
    <row r="80" spans="1:40" s="46" customFormat="1">
      <c r="B80" s="47" t="s">
        <v>219</v>
      </c>
      <c r="C80" s="46">
        <v>170</v>
      </c>
      <c r="F80" s="46">
        <f t="shared" si="182"/>
        <v>512</v>
      </c>
      <c r="G80" s="46">
        <f t="shared" si="183"/>
        <v>256</v>
      </c>
      <c r="H80" s="48">
        <f>2*PI()*L74/F80</f>
        <v>876209.82604027819</v>
      </c>
      <c r="I80" s="48">
        <f>PI()*L74/G80</f>
        <v>876209.82604027819</v>
      </c>
      <c r="J80" s="48">
        <f t="shared" ref="J80" si="204">COS(85*PI()/180)*L80*2*PI()/F80</f>
        <v>76366.718191336782</v>
      </c>
      <c r="K80" s="48"/>
      <c r="L80" s="48">
        <v>71400000</v>
      </c>
      <c r="M80" s="48">
        <v>1.74E-4</v>
      </c>
      <c r="N80" s="105">
        <v>-0.33300000000000002</v>
      </c>
      <c r="O80" s="49">
        <v>0</v>
      </c>
      <c r="P80" s="50">
        <v>2.1</v>
      </c>
      <c r="Q80" s="48">
        <f t="shared" ref="Q80" si="205">2*PI()*L80*(P80/360)</f>
        <v>2616946.6804402978</v>
      </c>
      <c r="R80" s="48">
        <f t="shared" ref="R80" si="206">Q80/H80</f>
        <v>2.9866666666666668</v>
      </c>
      <c r="S80" s="48">
        <f t="shared" ref="S80" si="207">Q80/I80</f>
        <v>2.9866666666666668</v>
      </c>
      <c r="T80" s="48">
        <v>100000</v>
      </c>
      <c r="U80" s="48">
        <v>100000</v>
      </c>
      <c r="V80" s="35">
        <v>10000000</v>
      </c>
      <c r="W80" s="48">
        <v>1000000</v>
      </c>
      <c r="X80" s="48">
        <v>60000</v>
      </c>
      <c r="Y80" s="46">
        <v>20</v>
      </c>
      <c r="Z80" s="105">
        <f>AA80*60*60*24/Y80</f>
        <v>12960000</v>
      </c>
      <c r="AA80" s="46">
        <v>3000</v>
      </c>
      <c r="AB80" s="46">
        <v>4</v>
      </c>
      <c r="AC80" s="48">
        <v>1.1E+43</v>
      </c>
      <c r="AD80" s="51">
        <v>50</v>
      </c>
      <c r="AE80" s="52" t="s">
        <v>38</v>
      </c>
      <c r="AF80" s="45">
        <f t="shared" ref="AF80:AF91" si="208">SQRT(X80)/(2*M80)</f>
        <v>703876.3628687294</v>
      </c>
      <c r="AG80" s="53">
        <f t="shared" ref="AG80" si="209">(AF80/L80)^2</f>
        <v>9.7184351035573287E-5</v>
      </c>
      <c r="AL80" s="8">
        <f t="shared" si="172"/>
        <v>2.6913223553771636E-2</v>
      </c>
      <c r="AM80" s="48">
        <f t="shared" ref="AM80" si="210">(1/AC80)*(J80)^8</f>
        <v>1.0515751986731529E-4</v>
      </c>
      <c r="AN80" s="47" t="s">
        <v>219</v>
      </c>
    </row>
    <row r="81" spans="1:40" s="54" customFormat="1">
      <c r="B81" s="55"/>
      <c r="H81" s="56"/>
      <c r="I81" s="56"/>
      <c r="J81" s="8" t="e">
        <f t="shared" si="8"/>
        <v>#DIV/0!</v>
      </c>
      <c r="K81" s="56"/>
      <c r="L81" s="56"/>
      <c r="M81" s="56"/>
      <c r="N81" s="57"/>
      <c r="O81" s="57"/>
      <c r="P81" s="58"/>
      <c r="Q81" s="56"/>
      <c r="R81" s="56"/>
      <c r="S81" s="56"/>
      <c r="T81" s="56"/>
      <c r="U81" s="56"/>
      <c r="W81" s="56"/>
      <c r="X81" s="56"/>
      <c r="Z81" s="56"/>
      <c r="AC81" s="56"/>
      <c r="AD81" s="59"/>
      <c r="AE81" s="60"/>
      <c r="AF81" s="45" t="e">
        <f t="shared" si="208"/>
        <v>#DIV/0!</v>
      </c>
      <c r="AG81" s="61"/>
      <c r="AL81" s="46"/>
      <c r="AM81" s="8" t="e">
        <f t="shared" si="12"/>
        <v>#DIV/0!</v>
      </c>
      <c r="AN81" s="55"/>
    </row>
    <row r="82" spans="1:40" s="38" customFormat="1">
      <c r="B82" s="5" t="s">
        <v>102</v>
      </c>
      <c r="D82" s="38">
        <v>256</v>
      </c>
      <c r="E82" s="38">
        <v>149</v>
      </c>
      <c r="F82" s="38">
        <f>D82*3</f>
        <v>768</v>
      </c>
      <c r="G82" s="38">
        <f>E82*(18/7)</f>
        <v>383.14285714285717</v>
      </c>
      <c r="H82" s="8">
        <f>2*PI()*L82/D82/3</f>
        <v>584139.88402685209</v>
      </c>
      <c r="I82" s="8">
        <f>PI()*L82*(7/18)/E82</f>
        <v>585446.68466225895</v>
      </c>
      <c r="J82" s="8">
        <f t="shared" si="8"/>
        <v>50911.145460891188</v>
      </c>
      <c r="K82" s="8"/>
      <c r="L82" s="8">
        <v>71400000</v>
      </c>
      <c r="M82" s="8">
        <v>1.74E-4</v>
      </c>
      <c r="N82" s="31" t="s">
        <v>103</v>
      </c>
      <c r="O82" s="9">
        <v>0</v>
      </c>
      <c r="P82" s="10">
        <v>2.1</v>
      </c>
      <c r="Q82" s="8">
        <f t="shared" ref="Q82:Q83" si="211">2*PI()*L82*(P82/360)</f>
        <v>2616946.6804402978</v>
      </c>
      <c r="R82" s="8">
        <f t="shared" ref="R82:R83" si="212">Q82/H82</f>
        <v>4.4800000000000004</v>
      </c>
      <c r="S82" s="8">
        <f t="shared" ref="S82:S83" si="213">Q82/I82</f>
        <v>4.4700000000000006</v>
      </c>
      <c r="T82" s="8">
        <v>100000</v>
      </c>
      <c r="U82" s="8">
        <v>50000</v>
      </c>
      <c r="V82" s="38" t="s">
        <v>19</v>
      </c>
      <c r="W82" s="8">
        <v>1000000</v>
      </c>
      <c r="X82" s="8">
        <v>60000</v>
      </c>
      <c r="AB82" s="38">
        <v>4</v>
      </c>
      <c r="AD82" s="24"/>
      <c r="AE82" s="26"/>
      <c r="AF82" s="45">
        <f t="shared" si="208"/>
        <v>703876.3628687294</v>
      </c>
      <c r="AG82" s="45">
        <f t="shared" ref="AG82:AG83" si="214">(AF82/L82)^2</f>
        <v>9.7184351035573287E-5</v>
      </c>
      <c r="AJ82" s="73"/>
      <c r="AK82" s="63"/>
      <c r="AL82" s="95"/>
      <c r="AM82" s="8" t="e">
        <f t="shared" si="12"/>
        <v>#DIV/0!</v>
      </c>
      <c r="AN82" s="5" t="s">
        <v>102</v>
      </c>
    </row>
    <row r="83" spans="1:40" s="46" customFormat="1">
      <c r="A83" s="46" t="s">
        <v>46</v>
      </c>
      <c r="B83" s="47" t="s">
        <v>104</v>
      </c>
      <c r="C83" s="46">
        <v>170</v>
      </c>
      <c r="F83" s="46">
        <f t="shared" ref="F83" si="215">C83*3+2</f>
        <v>512</v>
      </c>
      <c r="G83" s="46">
        <f t="shared" ref="G83" si="216">F83/2</f>
        <v>256</v>
      </c>
      <c r="H83" s="48">
        <f>2*PI()*L83/F83</f>
        <v>876209.82604027819</v>
      </c>
      <c r="I83" s="48">
        <f>PI()*L83/G83</f>
        <v>876209.82604027819</v>
      </c>
      <c r="J83" s="8">
        <f t="shared" si="8"/>
        <v>76366.718191336782</v>
      </c>
      <c r="K83" s="48"/>
      <c r="L83" s="48">
        <v>71400000</v>
      </c>
      <c r="M83" s="48">
        <v>1.74E-4</v>
      </c>
      <c r="N83" s="31" t="s">
        <v>103</v>
      </c>
      <c r="O83" s="49">
        <v>0</v>
      </c>
      <c r="P83" s="50">
        <v>2.1</v>
      </c>
      <c r="Q83" s="48">
        <f t="shared" si="211"/>
        <v>2616946.6804402978</v>
      </c>
      <c r="R83" s="48">
        <f t="shared" si="212"/>
        <v>2.9866666666666668</v>
      </c>
      <c r="S83" s="48">
        <f t="shared" si="213"/>
        <v>2.9866666666666668</v>
      </c>
      <c r="T83" s="48">
        <v>100000</v>
      </c>
      <c r="U83" s="48">
        <v>50000</v>
      </c>
      <c r="V83" s="46" t="s">
        <v>19</v>
      </c>
      <c r="W83" s="48">
        <v>1000000</v>
      </c>
      <c r="X83" s="48">
        <v>60000</v>
      </c>
      <c r="Y83" s="46">
        <v>10</v>
      </c>
      <c r="Z83" s="48">
        <f t="shared" ref="Z83" si="217">AA83*60*60*24/Y83</f>
        <v>43200000</v>
      </c>
      <c r="AA83" s="46">
        <v>5000</v>
      </c>
      <c r="AB83" s="46">
        <v>4</v>
      </c>
      <c r="AC83" s="35">
        <v>5.7799999999999997E+45</v>
      </c>
      <c r="AD83" s="51">
        <v>50</v>
      </c>
      <c r="AE83" s="52" t="s">
        <v>38</v>
      </c>
      <c r="AF83" s="45">
        <f t="shared" si="208"/>
        <v>703876.3628687294</v>
      </c>
      <c r="AG83" s="53">
        <f t="shared" si="214"/>
        <v>9.7184351035573287E-5</v>
      </c>
      <c r="AH83" s="46" t="s">
        <v>141</v>
      </c>
      <c r="AM83" s="8">
        <f t="shared" si="12"/>
        <v>2.0012676791357581E-7</v>
      </c>
      <c r="AN83" s="47" t="s">
        <v>104</v>
      </c>
    </row>
    <row r="84" spans="1:40" s="54" customFormat="1">
      <c r="A84" s="54">
        <v>1218</v>
      </c>
      <c r="B84" s="55" t="s">
        <v>105</v>
      </c>
      <c r="C84" s="54">
        <v>170</v>
      </c>
      <c r="F84" s="54">
        <f t="shared" ref="F84" si="218">C84*3+2</f>
        <v>512</v>
      </c>
      <c r="G84" s="54">
        <f t="shared" ref="G84" si="219">F84/2</f>
        <v>256</v>
      </c>
      <c r="H84" s="56">
        <f>2*PI()*L84/F84</f>
        <v>876209.82604027819</v>
      </c>
      <c r="I84" s="56">
        <f>PI()*L84/G84</f>
        <v>876209.82604027819</v>
      </c>
      <c r="J84" s="8">
        <f t="shared" si="8"/>
        <v>76366.718191336782</v>
      </c>
      <c r="K84" s="56"/>
      <c r="L84" s="56">
        <v>71400000</v>
      </c>
      <c r="M84" s="56">
        <v>1.74E-4</v>
      </c>
      <c r="N84" s="76" t="s">
        <v>103</v>
      </c>
      <c r="O84" s="57">
        <v>0</v>
      </c>
      <c r="P84" s="58">
        <v>2.1</v>
      </c>
      <c r="Q84" s="56">
        <f t="shared" ref="Q84" si="220">2*PI()*L84*(P84/360)</f>
        <v>2616946.6804402978</v>
      </c>
      <c r="R84" s="56">
        <f t="shared" ref="R84" si="221">Q84/H84</f>
        <v>2.9866666666666668</v>
      </c>
      <c r="S84" s="56">
        <f t="shared" ref="S84" si="222">Q84/I84</f>
        <v>2.9866666666666668</v>
      </c>
      <c r="T84" s="56">
        <v>100000</v>
      </c>
      <c r="U84" s="56">
        <v>50000</v>
      </c>
      <c r="V84" s="54" t="s">
        <v>19</v>
      </c>
      <c r="W84" s="56">
        <v>1000000</v>
      </c>
      <c r="X84" s="56">
        <v>60000</v>
      </c>
      <c r="Y84" s="54">
        <v>10</v>
      </c>
      <c r="Z84" s="56">
        <f t="shared" ref="Z84" si="223">AA84*60*60*24/Y84</f>
        <v>43200000</v>
      </c>
      <c r="AA84" s="54">
        <v>5000</v>
      </c>
      <c r="AB84" s="54">
        <v>4</v>
      </c>
      <c r="AC84" s="41">
        <v>5.7799999999999997E+46</v>
      </c>
      <c r="AD84" s="59">
        <v>50</v>
      </c>
      <c r="AE84" s="60" t="s">
        <v>38</v>
      </c>
      <c r="AF84" s="45">
        <f t="shared" si="208"/>
        <v>703876.3628687294</v>
      </c>
      <c r="AG84" s="61">
        <f t="shared" ref="AG84" si="224">(AF84/L84)^2</f>
        <v>9.7184351035573287E-5</v>
      </c>
      <c r="AH84" s="54" t="s">
        <v>143</v>
      </c>
      <c r="AL84" s="46"/>
      <c r="AM84" s="8">
        <f t="shared" si="12"/>
        <v>2.0012676791357582E-8</v>
      </c>
      <c r="AN84" s="55" t="s">
        <v>105</v>
      </c>
    </row>
    <row r="85" spans="1:40" s="73" customFormat="1">
      <c r="B85" s="5" t="s">
        <v>144</v>
      </c>
      <c r="D85" s="73">
        <v>256</v>
      </c>
      <c r="E85" s="73">
        <v>149</v>
      </c>
      <c r="F85" s="73">
        <f>D85*3</f>
        <v>768</v>
      </c>
      <c r="G85" s="73">
        <f>E85*(18/7)</f>
        <v>383.14285714285717</v>
      </c>
      <c r="H85" s="8">
        <f>2*PI()*L85/D85/3</f>
        <v>584139.88402685209</v>
      </c>
      <c r="I85" s="8">
        <f>PI()*L85*(7/18)/E85</f>
        <v>585446.68466225895</v>
      </c>
      <c r="J85" s="8">
        <f t="shared" si="8"/>
        <v>50911.145460891188</v>
      </c>
      <c r="K85" s="8"/>
      <c r="L85" s="8">
        <v>71400000</v>
      </c>
      <c r="M85" s="8">
        <v>1.74E-4</v>
      </c>
      <c r="N85" s="31" t="s">
        <v>146</v>
      </c>
      <c r="O85" s="9">
        <v>0</v>
      </c>
      <c r="P85" s="10">
        <v>2.1</v>
      </c>
      <c r="Q85" s="8">
        <f t="shared" ref="Q85:Q89" si="225">2*PI()*L85*(P85/360)</f>
        <v>2616946.6804402978</v>
      </c>
      <c r="R85" s="8">
        <f t="shared" ref="R85:R89" si="226">Q85/H85</f>
        <v>4.4800000000000004</v>
      </c>
      <c r="S85" s="8">
        <f t="shared" ref="S85:S89" si="227">Q85/I85</f>
        <v>4.4700000000000006</v>
      </c>
      <c r="T85" s="8">
        <v>100000</v>
      </c>
      <c r="U85" s="8">
        <v>100000</v>
      </c>
      <c r="V85" s="73" t="s">
        <v>19</v>
      </c>
      <c r="W85" s="8">
        <v>1000000</v>
      </c>
      <c r="X85" s="8">
        <v>300000</v>
      </c>
      <c r="AB85" s="73">
        <v>4</v>
      </c>
      <c r="AD85" s="24"/>
      <c r="AE85" s="26"/>
      <c r="AF85" s="45">
        <f t="shared" si="208"/>
        <v>1573915.3951297877</v>
      </c>
      <c r="AG85" s="45">
        <f t="shared" ref="AG85:AG89" si="228">(AF85/L85)^2</f>
        <v>4.8592175517786637E-4</v>
      </c>
      <c r="AL85" s="95"/>
      <c r="AM85" s="8" t="e">
        <f t="shared" si="12"/>
        <v>#DIV/0!</v>
      </c>
      <c r="AN85" s="5" t="s">
        <v>144</v>
      </c>
    </row>
    <row r="86" spans="1:40" s="46" customFormat="1">
      <c r="A86" s="46" t="s">
        <v>155</v>
      </c>
      <c r="B86" s="46" t="s">
        <v>145</v>
      </c>
      <c r="C86" s="46">
        <v>170</v>
      </c>
      <c r="F86" s="46">
        <f t="shared" ref="F86:F88" si="229">C86*3+2</f>
        <v>512</v>
      </c>
      <c r="G86" s="46">
        <f t="shared" ref="G86:G88" si="230">F86/2</f>
        <v>256</v>
      </c>
      <c r="H86" s="48">
        <f>2*PI()*L86/F86</f>
        <v>876209.82604027819</v>
      </c>
      <c r="I86" s="48">
        <f>PI()*L86/G86</f>
        <v>876209.82604027819</v>
      </c>
      <c r="J86" s="8">
        <f t="shared" ref="J86:J88" si="231">COS(85*PI()/180)*L86*2*PI()/F86</f>
        <v>76366.718191336782</v>
      </c>
      <c r="K86" s="48"/>
      <c r="L86" s="48">
        <v>71400000</v>
      </c>
      <c r="M86" s="48">
        <v>1.74E-4</v>
      </c>
      <c r="N86" s="31" t="s">
        <v>146</v>
      </c>
      <c r="O86" s="49">
        <v>0</v>
      </c>
      <c r="P86" s="50">
        <v>2.1</v>
      </c>
      <c r="Q86" s="48">
        <f t="shared" ref="Q86:Q88" si="232">2*PI()*L86*(P86/360)</f>
        <v>2616946.6804402978</v>
      </c>
      <c r="R86" s="48">
        <f t="shared" ref="R86:R88" si="233">Q86/H86</f>
        <v>2.9866666666666668</v>
      </c>
      <c r="S86" s="48">
        <f t="shared" ref="S86:S88" si="234">Q86/I86</f>
        <v>2.9866666666666668</v>
      </c>
      <c r="T86" s="48">
        <v>100000</v>
      </c>
      <c r="U86" s="48">
        <v>100000</v>
      </c>
      <c r="V86" s="46" t="s">
        <v>19</v>
      </c>
      <c r="W86" s="48">
        <v>1000000</v>
      </c>
      <c r="X86" s="48">
        <v>300000</v>
      </c>
      <c r="Y86" s="46">
        <v>10</v>
      </c>
      <c r="Z86" s="48">
        <f t="shared" ref="Z86:Z88" si="235">AA86*60*60*24/Y86</f>
        <v>43200000</v>
      </c>
      <c r="AA86" s="46">
        <v>5000</v>
      </c>
      <c r="AB86" s="46">
        <v>4</v>
      </c>
      <c r="AC86" s="35">
        <v>5.7799999999999997E+46</v>
      </c>
      <c r="AD86" s="51">
        <v>50</v>
      </c>
      <c r="AE86" s="52" t="s">
        <v>38</v>
      </c>
      <c r="AF86" s="45">
        <f t="shared" si="208"/>
        <v>1573915.3951297877</v>
      </c>
      <c r="AG86" s="53">
        <f t="shared" ref="AG86:AG88" si="236">(AF86/L86)^2</f>
        <v>4.8592175517786637E-4</v>
      </c>
      <c r="AM86" s="8">
        <f t="shared" ref="AM86:AM88" si="237">(1/AC86)*(J86)^8</f>
        <v>2.0012676791357582E-8</v>
      </c>
      <c r="AN86" s="46" t="s">
        <v>145</v>
      </c>
    </row>
    <row r="87" spans="1:40" s="46" customFormat="1">
      <c r="A87" s="46" t="s">
        <v>172</v>
      </c>
      <c r="B87" s="46" t="s">
        <v>167</v>
      </c>
      <c r="C87" s="46">
        <v>170</v>
      </c>
      <c r="F87" s="46">
        <f t="shared" si="229"/>
        <v>512</v>
      </c>
      <c r="G87" s="46">
        <f t="shared" si="230"/>
        <v>256</v>
      </c>
      <c r="H87" s="48">
        <f>2*PI()*L87/F87</f>
        <v>876209.82604027819</v>
      </c>
      <c r="I87" s="48">
        <f>PI()*L87/G87</f>
        <v>876209.82604027819</v>
      </c>
      <c r="J87" s="8">
        <f t="shared" si="231"/>
        <v>76366.718191336782</v>
      </c>
      <c r="K87" s="48"/>
      <c r="L87" s="48">
        <v>71400000</v>
      </c>
      <c r="M87" s="48">
        <v>1.74E-4</v>
      </c>
      <c r="N87" s="31" t="s">
        <v>146</v>
      </c>
      <c r="O87" s="49">
        <v>0</v>
      </c>
      <c r="P87" s="50">
        <v>2.1</v>
      </c>
      <c r="Q87" s="48">
        <f t="shared" si="232"/>
        <v>2616946.6804402978</v>
      </c>
      <c r="R87" s="48">
        <f t="shared" si="233"/>
        <v>2.9866666666666668</v>
      </c>
      <c r="S87" s="48">
        <f t="shared" si="234"/>
        <v>2.9866666666666668</v>
      </c>
      <c r="T87" s="48">
        <v>100000</v>
      </c>
      <c r="U87" s="48">
        <v>100000</v>
      </c>
      <c r="V87" s="46" t="s">
        <v>19</v>
      </c>
      <c r="W87" s="48">
        <v>1000000</v>
      </c>
      <c r="X87" s="48">
        <v>300000</v>
      </c>
      <c r="Y87" s="46">
        <v>20</v>
      </c>
      <c r="Z87" s="48">
        <f t="shared" si="235"/>
        <v>21600000</v>
      </c>
      <c r="AA87" s="46">
        <v>5000</v>
      </c>
      <c r="AB87" s="46">
        <v>4</v>
      </c>
      <c r="AC87" s="35">
        <v>1.2E+32</v>
      </c>
      <c r="AD87" s="51">
        <v>50</v>
      </c>
      <c r="AE87" s="52" t="s">
        <v>38</v>
      </c>
      <c r="AF87" s="45">
        <f t="shared" si="208"/>
        <v>1573915.3951297877</v>
      </c>
      <c r="AG87" s="53">
        <f t="shared" si="236"/>
        <v>4.8592175517786637E-4</v>
      </c>
      <c r="AH87" s="46" t="s">
        <v>173</v>
      </c>
      <c r="AM87" s="8">
        <f t="shared" si="237"/>
        <v>9639439.3211705685</v>
      </c>
      <c r="AN87" s="46" t="s">
        <v>167</v>
      </c>
    </row>
    <row r="88" spans="1:40" s="46" customFormat="1">
      <c r="A88" s="46" t="s">
        <v>191</v>
      </c>
      <c r="B88" s="46" t="s">
        <v>184</v>
      </c>
      <c r="C88" s="46">
        <v>170</v>
      </c>
      <c r="F88" s="46">
        <f t="shared" si="229"/>
        <v>512</v>
      </c>
      <c r="G88" s="46">
        <f t="shared" si="230"/>
        <v>256</v>
      </c>
      <c r="H88" s="48">
        <f>2*PI()*L88/F88</f>
        <v>876209.82604027819</v>
      </c>
      <c r="I88" s="48">
        <f>PI()*L88/G88</f>
        <v>876209.82604027819</v>
      </c>
      <c r="J88" s="8">
        <f t="shared" si="231"/>
        <v>76366.718191336782</v>
      </c>
      <c r="K88" s="48"/>
      <c r="L88" s="48">
        <v>71400000</v>
      </c>
      <c r="M88" s="48">
        <v>1.74E-4</v>
      </c>
      <c r="N88" s="31" t="s">
        <v>146</v>
      </c>
      <c r="O88" s="49">
        <v>0</v>
      </c>
      <c r="P88" s="50">
        <v>2.1</v>
      </c>
      <c r="Q88" s="48">
        <f t="shared" si="232"/>
        <v>2616946.6804402978</v>
      </c>
      <c r="R88" s="48">
        <f t="shared" si="233"/>
        <v>2.9866666666666668</v>
      </c>
      <c r="S88" s="48">
        <f t="shared" si="234"/>
        <v>2.9866666666666668</v>
      </c>
      <c r="T88" s="48">
        <v>100000</v>
      </c>
      <c r="U88" s="48">
        <v>100000</v>
      </c>
      <c r="V88" s="46" t="s">
        <v>19</v>
      </c>
      <c r="W88" s="48">
        <v>1000000</v>
      </c>
      <c r="X88" s="48">
        <v>300000</v>
      </c>
      <c r="Y88" s="46">
        <v>20</v>
      </c>
      <c r="Z88" s="48">
        <f t="shared" si="235"/>
        <v>21600000</v>
      </c>
      <c r="AA88" s="46">
        <v>5000</v>
      </c>
      <c r="AB88" s="46">
        <v>4</v>
      </c>
      <c r="AC88" s="35">
        <v>1.1E+33</v>
      </c>
      <c r="AD88" s="51">
        <v>50</v>
      </c>
      <c r="AE88" s="52" t="s">
        <v>38</v>
      </c>
      <c r="AF88" s="45">
        <f t="shared" si="208"/>
        <v>1573915.3951297877</v>
      </c>
      <c r="AG88" s="53">
        <f t="shared" si="236"/>
        <v>4.8592175517786637E-4</v>
      </c>
      <c r="AM88" s="8">
        <f t="shared" si="237"/>
        <v>1051575.1986731528</v>
      </c>
      <c r="AN88" s="46" t="s">
        <v>184</v>
      </c>
    </row>
    <row r="89" spans="1:40" s="107" customFormat="1">
      <c r="A89" s="107" t="s">
        <v>227</v>
      </c>
      <c r="B89" s="108" t="s">
        <v>207</v>
      </c>
      <c r="C89" s="107">
        <v>170</v>
      </c>
      <c r="F89" s="107">
        <f t="shared" ref="F89" si="238">C89*3+2</f>
        <v>512</v>
      </c>
      <c r="G89" s="107">
        <f t="shared" ref="G89" si="239">F89/2</f>
        <v>256</v>
      </c>
      <c r="H89" s="109">
        <f>2*PI()*L89/F89</f>
        <v>876209.82604027819</v>
      </c>
      <c r="I89" s="109">
        <f>PI()*L89/G89</f>
        <v>876209.82604027819</v>
      </c>
      <c r="J89" s="98">
        <f t="shared" si="8"/>
        <v>76366.718191336782</v>
      </c>
      <c r="K89" s="109"/>
      <c r="L89" s="109">
        <v>71400000</v>
      </c>
      <c r="M89" s="109">
        <v>1.74E-4</v>
      </c>
      <c r="N89" s="110" t="s">
        <v>146</v>
      </c>
      <c r="O89" s="111">
        <v>0</v>
      </c>
      <c r="P89" s="112">
        <v>2.1</v>
      </c>
      <c r="Q89" s="109">
        <f t="shared" si="225"/>
        <v>2616946.6804402978</v>
      </c>
      <c r="R89" s="109">
        <f t="shared" si="226"/>
        <v>2.9866666666666668</v>
      </c>
      <c r="S89" s="109">
        <f t="shared" si="227"/>
        <v>2.9866666666666668</v>
      </c>
      <c r="T89" s="109">
        <v>100000</v>
      </c>
      <c r="U89" s="109">
        <v>100000</v>
      </c>
      <c r="V89" s="107" t="s">
        <v>19</v>
      </c>
      <c r="W89" s="109">
        <v>1000000</v>
      </c>
      <c r="X89" s="109">
        <v>300000</v>
      </c>
      <c r="Y89" s="107">
        <v>20</v>
      </c>
      <c r="Z89" s="109">
        <f t="shared" ref="Z89" si="240">AA89*60*60*24/Y89</f>
        <v>21600000</v>
      </c>
      <c r="AA89" s="107">
        <v>5000</v>
      </c>
      <c r="AB89" s="107">
        <v>4</v>
      </c>
      <c r="AC89" s="109">
        <v>1.0999999999999999E+41</v>
      </c>
      <c r="AD89" s="113">
        <v>50</v>
      </c>
      <c r="AE89" s="110" t="s">
        <v>38</v>
      </c>
      <c r="AF89" s="104">
        <f t="shared" si="208"/>
        <v>1573915.3951297877</v>
      </c>
      <c r="AG89" s="114">
        <f t="shared" si="228"/>
        <v>4.8592175517786637E-4</v>
      </c>
      <c r="AL89" s="96"/>
      <c r="AM89" s="98">
        <f t="shared" si="12"/>
        <v>1.0515751986731528E-2</v>
      </c>
      <c r="AN89" s="108" t="s">
        <v>207</v>
      </c>
    </row>
    <row r="90" spans="1:40" s="74" customFormat="1">
      <c r="B90" s="5" t="s">
        <v>147</v>
      </c>
      <c r="D90" s="74">
        <v>256</v>
      </c>
      <c r="E90" s="74">
        <v>149</v>
      </c>
      <c r="F90" s="74">
        <f>D90*3</f>
        <v>768</v>
      </c>
      <c r="G90" s="74">
        <f>E90*(18/7)</f>
        <v>383.14285714285717</v>
      </c>
      <c r="H90" s="8">
        <f>2*PI()*L90/D90/3</f>
        <v>584139.88402685209</v>
      </c>
      <c r="I90" s="8">
        <f>PI()*L90*(7/18)/E90</f>
        <v>585446.68466225895</v>
      </c>
      <c r="J90" s="8">
        <f t="shared" si="8"/>
        <v>50911.145460891188</v>
      </c>
      <c r="K90" s="8"/>
      <c r="L90" s="8">
        <v>71400000</v>
      </c>
      <c r="M90" s="8">
        <v>1.74E-4</v>
      </c>
      <c r="N90" s="31" t="s">
        <v>146</v>
      </c>
      <c r="O90" s="9">
        <v>0</v>
      </c>
      <c r="P90" s="10">
        <v>2.1</v>
      </c>
      <c r="Q90" s="8">
        <f t="shared" ref="Q90:Q91" si="241">2*PI()*L90*(P90/360)</f>
        <v>2616946.6804402978</v>
      </c>
      <c r="R90" s="8">
        <f t="shared" ref="R90:R91" si="242">Q90/H90</f>
        <v>4.4800000000000004</v>
      </c>
      <c r="S90" s="8">
        <f t="shared" ref="S90:S91" si="243">Q90/I90</f>
        <v>4.4700000000000006</v>
      </c>
      <c r="T90" s="8">
        <v>100000</v>
      </c>
      <c r="U90" s="8">
        <v>100000</v>
      </c>
      <c r="V90" s="74" t="s">
        <v>19</v>
      </c>
      <c r="W90" s="8">
        <v>1000000</v>
      </c>
      <c r="X90" s="8">
        <v>900000</v>
      </c>
      <c r="AB90" s="74">
        <v>4</v>
      </c>
      <c r="AD90" s="24"/>
      <c r="AE90" s="26"/>
      <c r="AF90" s="45">
        <f t="shared" si="208"/>
        <v>2726101.4311796376</v>
      </c>
      <c r="AG90" s="45">
        <f t="shared" ref="AG90:AG91" si="244">(AF90/L90)^2</f>
        <v>1.4577652655335994E-3</v>
      </c>
      <c r="AL90" s="95"/>
      <c r="AM90" s="8" t="e">
        <f t="shared" si="12"/>
        <v>#DIV/0!</v>
      </c>
      <c r="AN90" s="5" t="s">
        <v>147</v>
      </c>
    </row>
    <row r="91" spans="1:40" s="46" customFormat="1">
      <c r="A91" s="46" t="s">
        <v>150</v>
      </c>
      <c r="B91" s="47" t="s">
        <v>148</v>
      </c>
      <c r="C91" s="46">
        <v>170</v>
      </c>
      <c r="F91" s="46">
        <f t="shared" ref="F91" si="245">C91*3+2</f>
        <v>512</v>
      </c>
      <c r="G91" s="46">
        <f t="shared" ref="G91" si="246">F91/2</f>
        <v>256</v>
      </c>
      <c r="H91" s="48">
        <f>2*PI()*L91/F91</f>
        <v>876209.82604027819</v>
      </c>
      <c r="I91" s="48">
        <f>PI()*L91/G91</f>
        <v>876209.82604027819</v>
      </c>
      <c r="J91" s="8">
        <f t="shared" si="8"/>
        <v>76366.718191336782</v>
      </c>
      <c r="K91" s="48"/>
      <c r="L91" s="48">
        <v>71400000</v>
      </c>
      <c r="M91" s="48">
        <v>1.74E-4</v>
      </c>
      <c r="N91" s="31" t="s">
        <v>146</v>
      </c>
      <c r="O91" s="49">
        <v>0</v>
      </c>
      <c r="P91" s="50">
        <v>2.1</v>
      </c>
      <c r="Q91" s="48">
        <f t="shared" si="241"/>
        <v>2616946.6804402978</v>
      </c>
      <c r="R91" s="48">
        <f t="shared" si="242"/>
        <v>2.9866666666666668</v>
      </c>
      <c r="S91" s="48">
        <f t="shared" si="243"/>
        <v>2.9866666666666668</v>
      </c>
      <c r="T91" s="48">
        <v>100000</v>
      </c>
      <c r="U91" s="48">
        <v>100000</v>
      </c>
      <c r="V91" s="46" t="s">
        <v>19</v>
      </c>
      <c r="W91" s="48">
        <v>1000000</v>
      </c>
      <c r="X91" s="48">
        <v>900000</v>
      </c>
      <c r="Y91" s="46">
        <v>10</v>
      </c>
      <c r="Z91" s="48">
        <f t="shared" ref="Z91" si="247">AA91*60*60*24/Y91</f>
        <v>43200000</v>
      </c>
      <c r="AA91" s="46">
        <v>5000</v>
      </c>
      <c r="AB91" s="46">
        <v>4</v>
      </c>
      <c r="AC91" s="35">
        <v>5.7799999999999997E+46</v>
      </c>
      <c r="AD91" s="51">
        <v>50</v>
      </c>
      <c r="AE91" s="52" t="s">
        <v>38</v>
      </c>
      <c r="AF91" s="45">
        <f t="shared" si="208"/>
        <v>2726101.4311796376</v>
      </c>
      <c r="AG91" s="53">
        <f t="shared" si="244"/>
        <v>1.4577652655335994E-3</v>
      </c>
      <c r="AM91" s="8">
        <f t="shared" si="12"/>
        <v>2.0012676791357582E-8</v>
      </c>
      <c r="AN91" s="47" t="s">
        <v>148</v>
      </c>
    </row>
  </sheetData>
  <mergeCells count="25">
    <mergeCell ref="L7:L8"/>
    <mergeCell ref="M7:M8"/>
    <mergeCell ref="N7:N8"/>
    <mergeCell ref="P7:P8"/>
    <mergeCell ref="C7:C8"/>
    <mergeCell ref="D7:D8"/>
    <mergeCell ref="E7:E8"/>
    <mergeCell ref="H7:H8"/>
    <mergeCell ref="I7:I8"/>
    <mergeCell ref="G7:G8"/>
    <mergeCell ref="F7:F8"/>
    <mergeCell ref="O7:O8"/>
    <mergeCell ref="AC7:AC8"/>
    <mergeCell ref="Z7:Z8"/>
    <mergeCell ref="AA7:AA8"/>
    <mergeCell ref="AB7:AB8"/>
    <mergeCell ref="Q7:Q8"/>
    <mergeCell ref="R7:R8"/>
    <mergeCell ref="S7:S8"/>
    <mergeCell ref="T7:T8"/>
    <mergeCell ref="U7:U8"/>
    <mergeCell ref="V7:V8"/>
    <mergeCell ref="W7:W8"/>
    <mergeCell ref="X7:X8"/>
    <mergeCell ref="Y7:Y8"/>
  </mergeCells>
  <phoneticPr fontId="1"/>
  <pageMargins left="0.7" right="0.7" top="0.75" bottom="0.75" header="0.3" footer="0.3"/>
  <pageSetup paperSize="9" orientation="portrait" r:id="rId1"/>
  <ignoredErrors>
    <ignoredError sqref="F38:G3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2A6C0-3FEF-44FC-889D-7B086A9414C1}">
  <dimension ref="B1:AG5"/>
  <sheetViews>
    <sheetView topLeftCell="L1" zoomScale="70" zoomScaleNormal="70" workbookViewId="0">
      <selection activeCell="U5" sqref="U5"/>
    </sheetView>
  </sheetViews>
  <sheetFormatPr defaultRowHeight="18.75"/>
  <cols>
    <col min="1" max="1" width="9" style="20"/>
    <col min="2" max="2" width="19.875" style="5" customWidth="1"/>
    <col min="3" max="3" width="7.875" style="70" customWidth="1"/>
    <col min="4" max="4" width="6.375" style="70" customWidth="1"/>
    <col min="5" max="5" width="8.25" style="70" customWidth="1"/>
    <col min="6" max="6" width="17.625" style="70" customWidth="1"/>
    <col min="7" max="7" width="11.625" style="20" customWidth="1"/>
    <col min="8" max="8" width="11.125" style="20" customWidth="1"/>
    <col min="9" max="9" width="14.125" style="20" customWidth="1"/>
    <col min="10" max="10" width="16.125" style="20" customWidth="1"/>
    <col min="11" max="11" width="11.5" style="20" customWidth="1"/>
    <col min="12" max="12" width="13" style="20" customWidth="1"/>
    <col min="13" max="13" width="13.375" style="20" customWidth="1"/>
    <col min="14" max="14" width="10.5" style="20" customWidth="1"/>
    <col min="15" max="15" width="13" style="20" customWidth="1"/>
    <col min="16" max="16" width="13.125" style="7" customWidth="1"/>
    <col min="17" max="17" width="10.5" style="7" customWidth="1"/>
    <col min="18" max="18" width="9" style="20"/>
    <col min="19" max="19" width="25.5" style="20" customWidth="1"/>
    <col min="20" max="20" width="11.625" style="20" customWidth="1"/>
    <col min="21" max="21" width="25" style="20" customWidth="1"/>
    <col min="22" max="22" width="20.875" style="20" customWidth="1"/>
    <col min="23" max="23" width="12.375" style="20" customWidth="1"/>
    <col min="24" max="24" width="18.25" style="20" customWidth="1"/>
    <col min="25" max="25" width="9.5" style="20" bestFit="1" customWidth="1"/>
    <col min="26" max="26" width="10.625" style="20" customWidth="1"/>
    <col min="27" max="27" width="9" style="20"/>
    <col min="28" max="28" width="10.75" style="20" customWidth="1"/>
    <col min="29" max="29" width="9" style="20"/>
    <col min="30" max="30" width="10.5" style="20" customWidth="1"/>
    <col min="31" max="31" width="10.375" style="20" customWidth="1"/>
    <col min="32" max="32" width="13.5" style="22" customWidth="1"/>
    <col min="33" max="33" width="10.375" style="27" customWidth="1"/>
    <col min="34" max="34" width="18.25" style="20" customWidth="1"/>
    <col min="35" max="16384" width="9" style="20"/>
  </cols>
  <sheetData>
    <row r="1" spans="2:26" ht="18.75" customHeight="1">
      <c r="B1" s="21"/>
    </row>
    <row r="2" spans="2:26">
      <c r="B2" s="21"/>
    </row>
    <row r="3" spans="2:26" ht="18.75" customHeight="1">
      <c r="B3" s="21"/>
      <c r="Y3" s="20" t="s">
        <v>20</v>
      </c>
    </row>
    <row r="4" spans="2:26">
      <c r="B4" s="5" t="s">
        <v>53</v>
      </c>
      <c r="C4" s="70" t="s">
        <v>132</v>
      </c>
      <c r="D4" s="70" t="s">
        <v>133</v>
      </c>
      <c r="E4" s="70" t="s">
        <v>134</v>
      </c>
      <c r="F4" s="70" t="s">
        <v>135</v>
      </c>
      <c r="G4" s="20" t="s">
        <v>54</v>
      </c>
      <c r="H4" s="20" t="s">
        <v>55</v>
      </c>
      <c r="I4" s="20" t="s">
        <v>56</v>
      </c>
      <c r="J4" s="20" t="s">
        <v>57</v>
      </c>
      <c r="K4" s="20" t="s">
        <v>58</v>
      </c>
      <c r="L4" s="20" t="s">
        <v>59</v>
      </c>
      <c r="M4" s="20" t="s">
        <v>60</v>
      </c>
      <c r="N4" s="20" t="s">
        <v>61</v>
      </c>
      <c r="O4" s="20" t="s">
        <v>62</v>
      </c>
      <c r="P4" s="7" t="s">
        <v>63</v>
      </c>
      <c r="Q4" s="7" t="s">
        <v>64</v>
      </c>
      <c r="R4" s="20" t="s">
        <v>65</v>
      </c>
      <c r="S4" s="20" t="s">
        <v>66</v>
      </c>
      <c r="T4" s="20" t="s">
        <v>67</v>
      </c>
      <c r="U4" s="20" t="s">
        <v>68</v>
      </c>
      <c r="V4" s="20" t="s">
        <v>69</v>
      </c>
      <c r="W4" s="20" t="s">
        <v>70</v>
      </c>
      <c r="X4" s="20" t="s">
        <v>71</v>
      </c>
      <c r="Y4" s="20" t="s">
        <v>72</v>
      </c>
      <c r="Z4" s="20" t="s">
        <v>177</v>
      </c>
    </row>
    <row r="5" spans="2:26" ht="18.75" customHeight="1">
      <c r="B5" s="5" t="s">
        <v>73</v>
      </c>
      <c r="G5" s="20">
        <v>0.5</v>
      </c>
      <c r="H5" s="20">
        <v>2000</v>
      </c>
      <c r="I5" s="20">
        <v>5</v>
      </c>
      <c r="J5" s="33">
        <v>1E-4</v>
      </c>
      <c r="K5" s="20">
        <v>200000</v>
      </c>
      <c r="L5" s="20">
        <v>1562.5</v>
      </c>
      <c r="M5" s="20">
        <v>1.11803E-4</v>
      </c>
      <c r="N5" s="20">
        <v>2.2360699999999999E-4</v>
      </c>
      <c r="O5" s="33">
        <v>2.7950000000000001E-21</v>
      </c>
      <c r="P5" s="7">
        <v>512</v>
      </c>
      <c r="Q5" s="7">
        <v>390.625</v>
      </c>
      <c r="R5" s="20">
        <v>40</v>
      </c>
      <c r="S5" s="20">
        <v>1.64</v>
      </c>
      <c r="T5" s="20">
        <v>200000</v>
      </c>
      <c r="U5" s="33">
        <v>5.6499999999999999E+37</v>
      </c>
      <c r="V5" s="33">
        <v>12700000</v>
      </c>
      <c r="W5" s="33">
        <v>100000</v>
      </c>
      <c r="X5" s="33">
        <v>200000</v>
      </c>
      <c r="Y5" s="33">
        <v>1000000000</v>
      </c>
      <c r="Z5" s="33">
        <f>1/U5*(Q5*1000)^8</f>
        <v>9594709.491022164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S07_run</vt:lpstr>
      <vt:lpstr>S07</vt:lpstr>
      <vt:lpstr>B19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ryoma</dc:creator>
  <cp:lastModifiedBy>ryoma</cp:lastModifiedBy>
  <dcterms:created xsi:type="dcterms:W3CDTF">2015-06-05T18:19:34Z</dcterms:created>
  <dcterms:modified xsi:type="dcterms:W3CDTF">2021-02-18T14:22:28Z</dcterms:modified>
</cp:coreProperties>
</file>